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workbookProtection workbookAlgorithmName="SHA-512" workbookHashValue="nDs7RyxC6ZRwMqzITojG1AKckvoZS6xrdGYxwIjbBtj6M5Ja8JVvoHKeUYWw3vFbWKY5A75HFk5nFW17az3SUw==" workbookSaltValue="TAHov6D223e1zbrtnhe43w==" workbookSpinCount="100000" lockStructure="1"/>
  <bookViews>
    <workbookView xWindow="0" yWindow="0" windowWidth="24240" windowHeight="11010" firstSheet="1" activeTab="2"/>
  </bookViews>
  <sheets>
    <sheet name="入力設定" sheetId="5" state="hidden" r:id="rId1"/>
    <sheet name="入力シート" sheetId="7" r:id="rId2"/>
    <sheet name="【印刷用】申請書" sheetId="8" r:id="rId3"/>
  </sheets>
  <definedNames>
    <definedName name="ISO1認定_起算日">入力シート!$K$129</definedName>
    <definedName name="ISO1認定_有無">入力シート!$H$129</definedName>
    <definedName name="ISO2認定_起算日">入力シート!$K$130</definedName>
    <definedName name="ISO2認定_有無">入力シート!$H$130</definedName>
    <definedName name="m許可知事">入力設定!$C$1</definedName>
    <definedName name="_xlnm.Print_Titles" localSheetId="2">【印刷用】申請書!$1:$1</definedName>
    <definedName name="_xlnm.Print_Titles" localSheetId="1">入力シート!$1:$1</definedName>
    <definedName name="Pver">"2019.01"</definedName>
    <definedName name="P基準年度">"2018"</definedName>
    <definedName name="P業種">"建設工事"</definedName>
    <definedName name="P業種区分">"建設"</definedName>
    <definedName name="P市町村名">"さぬき市"</definedName>
    <definedName name="P申請開始日">"2019/01/15"</definedName>
    <definedName name="P対象年度">"平成31・32年度"</definedName>
    <definedName name="P地区1">"市内"</definedName>
    <definedName name="ガ_その他">入力シート!$Q$158</definedName>
    <definedName name="ガ_一級_全数">入力シート!$O$158</definedName>
    <definedName name="ガ_一級_内数">入力シート!$R$158</definedName>
    <definedName name="ガ_希望">入力シート!$I$158</definedName>
    <definedName name="ガ_区分">入力シート!$K$158</definedName>
    <definedName name="ガ_工事高">入力シート!$T$158</definedName>
    <definedName name="ガ_二級_全数">入力シート!$P$158</definedName>
    <definedName name="ガ_二級_内数">入力シート!$S$158</definedName>
    <definedName name="ガ_評点">入力シート!$M$158</definedName>
    <definedName name="さ_その他">入力シート!$Q$166</definedName>
    <definedName name="さ_一級_全数">入力シート!$O$166</definedName>
    <definedName name="さ_一級_内数">入力シート!$R$166</definedName>
    <definedName name="さ_希望">入力シート!$I$166</definedName>
    <definedName name="さ_区分">入力シート!$K$166</definedName>
    <definedName name="さ_工事高">入力シート!$T$166</definedName>
    <definedName name="さ_二級_全数">入力シート!$P$166</definedName>
    <definedName name="さ_二級_内数">入力シート!$S$166</definedName>
    <definedName name="さ_評点">入力シート!$M$166</definedName>
    <definedName name="し_その他">入力シート!$Q$156</definedName>
    <definedName name="し_一級_全数">入力シート!$O$156</definedName>
    <definedName name="し_一級_内数">入力シート!$R$156</definedName>
    <definedName name="し_希望">入力シート!$I$156</definedName>
    <definedName name="し_区分">入力シート!$K$156</definedName>
    <definedName name="し_工事高">入力シート!$T$156</definedName>
    <definedName name="し_二級_全数">入力シート!$P$156</definedName>
    <definedName name="し_二級_内数">入力シート!$S$156</definedName>
    <definedName name="し_評点">入力シート!$M$156</definedName>
    <definedName name="タ_その他">入力シート!$Q$151</definedName>
    <definedName name="タ_一級_全数">入力シート!$O$151</definedName>
    <definedName name="タ_一級_内数">入力シート!$R$151</definedName>
    <definedName name="タ_希望">入力シート!$I$151</definedName>
    <definedName name="タ_区分">入力シート!$K$151</definedName>
    <definedName name="タ_工事高">入力シート!$T$151</definedName>
    <definedName name="タ_二級_全数">入力シート!$P$151</definedName>
    <definedName name="タ_二級_内数">入力シート!$S$151</definedName>
    <definedName name="タ_評点">入力シート!$M$151</definedName>
    <definedName name="と_その他">入力シート!$Q$145</definedName>
    <definedName name="と_一級_全数">入力シート!$O$145</definedName>
    <definedName name="と_一級_内数">入力シート!$R$145</definedName>
    <definedName name="と_希望">入力シート!$I$145</definedName>
    <definedName name="と_区分">入力シート!$K$145</definedName>
    <definedName name="と_工事高">入力シート!$T$145</definedName>
    <definedName name="と_二級_全数">入力シート!$P$145</definedName>
    <definedName name="と_二級_内数">入力シート!$S$145</definedName>
    <definedName name="と_評点">入力シート!$M$145</definedName>
    <definedName name="プ_その他">入力シート!$Q$141</definedName>
    <definedName name="プ_一級_全数">入力シート!$O$141</definedName>
    <definedName name="プ_一級_内数">入力シート!$R$141</definedName>
    <definedName name="プ_希望">入力シート!$I$141</definedName>
    <definedName name="プ_区分">入力シート!$K$141</definedName>
    <definedName name="プ_工事高">入力シート!$T$141</definedName>
    <definedName name="プ_二級_全数">入力シート!$P$141</definedName>
    <definedName name="プ_二級_内数">入力シート!$S$141</definedName>
    <definedName name="プ_評点">入力シート!$M$141</definedName>
    <definedName name="ほ_その他">入力シート!$Q$155</definedName>
    <definedName name="ほ_一級_全数">入力シート!$O$155</definedName>
    <definedName name="ほ_一級_内数">入力シート!$R$155</definedName>
    <definedName name="ほ_希望">入力シート!$I$155</definedName>
    <definedName name="ほ_区分">入力シート!$K$155</definedName>
    <definedName name="ほ_工事高">入力シート!$T$155</definedName>
    <definedName name="ほ_二級_全数">入力シート!$P$155</definedName>
    <definedName name="ほ_二級_内数">入力シート!$S$155</definedName>
    <definedName name="ほ_評点">入力シート!$M$155</definedName>
    <definedName name="委任先FAX">入力シート!$I$86</definedName>
    <definedName name="委任先TEL">入力シート!$I$84</definedName>
    <definedName name="委任先市町村内外区分">入力シート!$I$68</definedName>
    <definedName name="委任先所在地">入力シート!$I$72</definedName>
    <definedName name="委任先代表者氏名">入力シート!$I$82</definedName>
    <definedName name="委任先代表者氏名カナ">入力シート!$I$80</definedName>
    <definedName name="委任先代表者職名">入力シート!$I$78</definedName>
    <definedName name="委任先名称">入力シート!$I$76</definedName>
    <definedName name="委任先名称カナ">入力シート!$I$74</definedName>
    <definedName name="委任先有無">入力シート!$I$14</definedName>
    <definedName name="委任先郵便">入力シート!$I$70</definedName>
    <definedName name="営業年数">入力シート!$I$42</definedName>
    <definedName name="屋_その他">入力シート!$Q$148</definedName>
    <definedName name="屋_一級_全数">入力シート!$O$148</definedName>
    <definedName name="屋_一級_内数">入力シート!$R$148</definedName>
    <definedName name="屋_希望">入力シート!$I$148</definedName>
    <definedName name="屋_区分">入力シート!$K$148</definedName>
    <definedName name="屋_工事高">入力シート!$T$148</definedName>
    <definedName name="屋_二級_全数">入力シート!$P$148</definedName>
    <definedName name="屋_二級_内数">入力シート!$S$148</definedName>
    <definedName name="屋_評点">入力シート!$M$148</definedName>
    <definedName name="解_その他">入力シート!$Q$171</definedName>
    <definedName name="解_一級_全数">入力シート!$O$171</definedName>
    <definedName name="解_一級_内数">入力シート!$R$171</definedName>
    <definedName name="解_希望">入力シート!$I$171</definedName>
    <definedName name="解_区分">入力シート!$K$171</definedName>
    <definedName name="解_工事高">入力シート!$T$171</definedName>
    <definedName name="解_二級_全数">入力シート!$P$171</definedName>
    <definedName name="解_二級_内数">入力シート!$S$171</definedName>
    <definedName name="解_評点">入力シート!$M$171</definedName>
    <definedName name="管_その他">入力シート!$Q$150</definedName>
    <definedName name="管_一級_全数">入力シート!$O$150</definedName>
    <definedName name="管_一級_内数">入力シート!$R$150</definedName>
    <definedName name="管_希望">入力シート!$I$150</definedName>
    <definedName name="管_区分">入力シート!$K$150</definedName>
    <definedName name="管_工事高">入力シート!$T$150</definedName>
    <definedName name="管_二級_全数">入力シート!$P$150</definedName>
    <definedName name="管_二級_内数">入力シート!$S$150</definedName>
    <definedName name="管_評点">入力シート!$M$150</definedName>
    <definedName name="機_その他">入力シート!$Q$162</definedName>
    <definedName name="機_一級_全数">入力シート!$O$162</definedName>
    <definedName name="機_一級_内数">入力シート!$R$162</definedName>
    <definedName name="機_希望">入力シート!$I$162</definedName>
    <definedName name="機_区分">入力シート!$K$162</definedName>
    <definedName name="機_工事高">入力シート!$T$162</definedName>
    <definedName name="機_二級_全数">入力シート!$P$162</definedName>
    <definedName name="機_二級_内数">入力シート!$S$162</definedName>
    <definedName name="機_評点">入力シート!$M$162</definedName>
    <definedName name="機械保有残高">入力シート!$I$60</definedName>
    <definedName name="許可年月日">入力シート!$I$48</definedName>
    <definedName name="許可番号">入力シート!$I$46</definedName>
    <definedName name="橋_その他">入力シート!$Q$153</definedName>
    <definedName name="橋_一級_全数">入力シート!$O$153</definedName>
    <definedName name="橋_一級_内数">入力シート!$R$153</definedName>
    <definedName name="橋_希望">入力シート!$I$153</definedName>
    <definedName name="橋_区分">入力シート!$K$153</definedName>
    <definedName name="橋_工事高">入力シート!$T$153</definedName>
    <definedName name="橋_二級_全数">入力シート!$P$153</definedName>
    <definedName name="橋_二級_内数">入力シート!$S$153</definedName>
    <definedName name="橋_評点">入力シート!$M$153</definedName>
    <definedName name="具_その他">入力シート!$Q$167</definedName>
    <definedName name="具_一級_全数">入力シート!$O$167</definedName>
    <definedName name="具_一級_内数">入力シート!$R$167</definedName>
    <definedName name="具_希望">入力シート!$I$167</definedName>
    <definedName name="具_区分">入力シート!$K$167</definedName>
    <definedName name="具_工事高">入力シート!$T$167</definedName>
    <definedName name="具_二級_全数">入力シート!$P$167</definedName>
    <definedName name="具_二級_内数">入力シート!$S$167</definedName>
    <definedName name="具_評点">入力シート!$M$167</definedName>
    <definedName name="経審審査基準日">入力シート!$I$56</definedName>
    <definedName name="経審審査結果通知">入力シート!$I$58</definedName>
    <definedName name="建_その他">入力シート!$Q$142</definedName>
    <definedName name="建_一級_全数">入力シート!$O$142</definedName>
    <definedName name="建_一級_内数">入力シート!$R$142</definedName>
    <definedName name="建_希望">入力シート!$I$142</definedName>
    <definedName name="建_区分">入力シート!$K$142</definedName>
    <definedName name="建_工事高">入力シート!$T$142</definedName>
    <definedName name="建_二級_全数">入力シート!$P$142</definedName>
    <definedName name="建_二級_内数">入力シート!$S$142</definedName>
    <definedName name="建_評点">入力シート!$M$142</definedName>
    <definedName name="個人法人区分">入力シート!$I$12</definedName>
    <definedName name="鋼_その他">入力シート!$Q$152</definedName>
    <definedName name="鋼_一級_全数">入力シート!$O$152</definedName>
    <definedName name="鋼_一級_内数">入力シート!$R$152</definedName>
    <definedName name="鋼_希望">入力シート!$I$152</definedName>
    <definedName name="鋼_区分">入力シート!$K$152</definedName>
    <definedName name="鋼_工事高">入力シート!$T$152</definedName>
    <definedName name="鋼_二級_全数">入力シート!$P$152</definedName>
    <definedName name="鋼_二級_内数">入力シート!$S$152</definedName>
    <definedName name="鋼_評点">入力シート!$M$152</definedName>
    <definedName name="左_その他">入力シート!$Q$144</definedName>
    <definedName name="左_一級_全数">入力シート!$O$144</definedName>
    <definedName name="左_一級_内数">入力シート!$R$144</definedName>
    <definedName name="左_希望">入力シート!$I$144</definedName>
    <definedName name="左_区分">入力シート!$K$144</definedName>
    <definedName name="左_工事高">入力シート!$T$144</definedName>
    <definedName name="左_二級_全数">入力シート!$P$144</definedName>
    <definedName name="左_二級_内数">入力シート!$S$144</definedName>
    <definedName name="左_評点">入力シート!$M$144</definedName>
    <definedName name="資格_舗施管_一級">入力シート!$I$184</definedName>
    <definedName name="資格_舗施管_二級">入力シート!$M$184</definedName>
    <definedName name="消_その他">入力シート!$Q$169</definedName>
    <definedName name="消_一級_全数">入力シート!$O$169</definedName>
    <definedName name="消_一級_内数">入力シート!$R$169</definedName>
    <definedName name="消_希望">入力シート!$I$169</definedName>
    <definedName name="消_区分">入力シート!$K$169</definedName>
    <definedName name="消_工事高">入力シート!$T$169</definedName>
    <definedName name="消_二級_全数">入力シート!$P$169</definedName>
    <definedName name="消_二級_内数">入力シート!$S$169</definedName>
    <definedName name="消_評点">入力シート!$M$169</definedName>
    <definedName name="申請代理人FAX">入力シート!$I$121</definedName>
    <definedName name="申請代理人TEL">入力シート!$I$119</definedName>
    <definedName name="申請代理人氏名">入力シート!$I$117</definedName>
    <definedName name="申請代理人氏名カナ">入力シート!$I$115</definedName>
    <definedName name="申請代理人所在地">入力シート!$I$113</definedName>
    <definedName name="申請代理人有無">入力シート!$I$16</definedName>
    <definedName name="申請代理人郵便">入力シート!$I$111</definedName>
    <definedName name="申請年月日">入力シート!$I$10</definedName>
    <definedName name="水_その他">入力シート!$Q$168</definedName>
    <definedName name="水_一級_全数">入力シート!$O$168</definedName>
    <definedName name="水_一級_内数">入力シート!$R$168</definedName>
    <definedName name="水_希望">入力シート!$I$168</definedName>
    <definedName name="水_区分">入力シート!$K$168</definedName>
    <definedName name="水_工事高">入力シート!$T$168</definedName>
    <definedName name="水_二級_全数">入力シート!$P$168</definedName>
    <definedName name="水_二級_内数">入力シート!$S$168</definedName>
    <definedName name="水_評点">入力シート!$M$168</definedName>
    <definedName name="清_その他">入力シート!$Q$170</definedName>
    <definedName name="清_一級_全数">入力シート!$O$170</definedName>
    <definedName name="清_一級_内数">入力シート!$R$170</definedName>
    <definedName name="清_希望">入力シート!$I$170</definedName>
    <definedName name="清_区分">入力シート!$K$170</definedName>
    <definedName name="清_工事高">入力シート!$T$170</definedName>
    <definedName name="清_二級_全数">入力シート!$P$170</definedName>
    <definedName name="清_二級_内数">入力シート!$S$170</definedName>
    <definedName name="清_評点">入力シート!$M$170</definedName>
    <definedName name="石_その他">入力シート!$Q$147</definedName>
    <definedName name="石_一級_全数">入力シート!$O$147</definedName>
    <definedName name="石_一級_内数">入力シート!$R$147</definedName>
    <definedName name="石_希望">入力シート!$I$147</definedName>
    <definedName name="石_区分">入力シート!$K$147</definedName>
    <definedName name="石_工事高">入力シート!$T$147</definedName>
    <definedName name="石_二級_全数">入力シート!$P$147</definedName>
    <definedName name="石_二級_内数">入力シート!$S$147</definedName>
    <definedName name="石_評点">入力シート!$M$147</definedName>
    <definedName name="造_その他">入力シート!$Q$165</definedName>
    <definedName name="造_一級_全数">入力シート!$O$165</definedName>
    <definedName name="造_一級_内数">入力シート!$R$165</definedName>
    <definedName name="造_希望">入力シート!$I$165</definedName>
    <definedName name="造_区分">入力シート!$K$165</definedName>
    <definedName name="造_工事高">入力シート!$T$165</definedName>
    <definedName name="造_二級_全数">入力シート!$P$165</definedName>
    <definedName name="造_二級_内数">入力シート!$S$165</definedName>
    <definedName name="造_評点">入力シート!$M$165</definedName>
    <definedName name="大_その他">入力シート!$Q$143</definedName>
    <definedName name="大_一級_全数">入力シート!$O$143</definedName>
    <definedName name="大_一級_内数">入力シート!$R$143</definedName>
    <definedName name="大_希望">入力シート!$I$143</definedName>
    <definedName name="大_区分">入力シート!$K$143</definedName>
    <definedName name="大_工事高">入力シート!$T$143</definedName>
    <definedName name="大_二級_全数">入力シート!$P$143</definedName>
    <definedName name="大_二級_内数">入力シート!$S$143</definedName>
    <definedName name="大_評点">入力シート!$M$143</definedName>
    <definedName name="担当者FAX">入力シート!$I$102</definedName>
    <definedName name="担当者TEL">入力シート!$I$100</definedName>
    <definedName name="担当者アドレス">入力シート!$I$104</definedName>
    <definedName name="担当者氏名">入力シート!$I$98</definedName>
    <definedName name="担当者氏名カナ">入力シート!$I$96</definedName>
    <definedName name="担当者部署">入力シート!$I$94</definedName>
    <definedName name="通_その他">入力シート!$Q$164</definedName>
    <definedName name="通_一級_全数">入力シート!$O$164</definedName>
    <definedName name="通_一級_内数">入力シート!$R$164</definedName>
    <definedName name="通_希望">入力シート!$I$164</definedName>
    <definedName name="通_区分">入力シート!$K$164</definedName>
    <definedName name="通_工事高">入力シート!$T$164</definedName>
    <definedName name="通_二級_全数">入力シート!$P$164</definedName>
    <definedName name="通_二級_内数">入力シート!$S$164</definedName>
    <definedName name="通_評点">入力シート!$M$164</definedName>
    <definedName name="鉄_その他">入力シート!$Q$154</definedName>
    <definedName name="鉄_一級_全数">入力シート!$O$154</definedName>
    <definedName name="鉄_一級_内数">入力シート!$R$154</definedName>
    <definedName name="鉄_希望">入力シート!$I$154</definedName>
    <definedName name="鉄_区分">入力シート!$K$154</definedName>
    <definedName name="鉄_工事高">入力シート!$T$154</definedName>
    <definedName name="鉄_二級_全数">入力シート!$P$154</definedName>
    <definedName name="鉄_二級_内数">入力シート!$S$154</definedName>
    <definedName name="鉄_評点">入力シート!$M$154</definedName>
    <definedName name="電_その他">入力シート!$Q$149</definedName>
    <definedName name="電_一級_全数">入力シート!$O$149</definedName>
    <definedName name="電_一級_内数">入力シート!$R$149</definedName>
    <definedName name="電_希望">入力シート!$I$149</definedName>
    <definedName name="電_区分">入力シート!$K$149</definedName>
    <definedName name="電_工事高">入力シート!$T$149</definedName>
    <definedName name="電_二級_全数">入力シート!$P$149</definedName>
    <definedName name="電_二級_内数">入力シート!$S$149</definedName>
    <definedName name="電_評点">入力シート!$M$149</definedName>
    <definedName name="塗_その他">入力シート!$Q$159</definedName>
    <definedName name="塗_一級_全数">入力シート!$O$159</definedName>
    <definedName name="塗_一級_内数">入力シート!$R$159</definedName>
    <definedName name="塗_希望">入力シート!$I$159</definedName>
    <definedName name="塗_区分">入力シート!$K$159</definedName>
    <definedName name="塗_工事高">入力シート!$T$159</definedName>
    <definedName name="塗_二級_全数">入力シート!$P$159</definedName>
    <definedName name="塗_二級_内数">入力シート!$S$159</definedName>
    <definedName name="塗_評点">入力シート!$M$159</definedName>
    <definedName name="土_その他">入力シート!$Q$140</definedName>
    <definedName name="土_一級_全数">入力シート!$O$140</definedName>
    <definedName name="土_一級_内数">入力シート!$R$140</definedName>
    <definedName name="土_希望">入力シート!$I$140</definedName>
    <definedName name="土_区分">入力シート!$K$140</definedName>
    <definedName name="土_工事高">入力シート!$T$140</definedName>
    <definedName name="土_二級_全数">入力シート!$P$140</definedName>
    <definedName name="土_二級_内数">入力シート!$S$140</definedName>
    <definedName name="土_評点">入力シート!$M$140</definedName>
    <definedName name="内_その他">入力シート!$Q$161</definedName>
    <definedName name="内_一級_全数">入力シート!$O$161</definedName>
    <definedName name="内_一級_内数">入力シート!$R$161</definedName>
    <definedName name="内_希望">入力シート!$I$161</definedName>
    <definedName name="内_区分">入力シート!$K$161</definedName>
    <definedName name="内_工事高">入力シート!$T$161</definedName>
    <definedName name="内_二級_全数">入力シート!$P$161</definedName>
    <definedName name="内_二級_内数">入力シート!$S$161</definedName>
    <definedName name="内_評点">入力シート!$M$161</definedName>
    <definedName name="熱_その他">入力シート!$Q$163</definedName>
    <definedName name="熱_一級_全数">入力シート!$O$163</definedName>
    <definedName name="熱_一級_内数">入力シート!$R$163</definedName>
    <definedName name="熱_希望">入力シート!$I$163</definedName>
    <definedName name="熱_区分">入力シート!$K$163</definedName>
    <definedName name="熱_工事高">入力シート!$T$163</definedName>
    <definedName name="熱_二級_全数">入力シート!$P$163</definedName>
    <definedName name="熱_二級_内数">入力シート!$S$163</definedName>
    <definedName name="熱_評点">入力シート!$M$163</definedName>
    <definedName name="板_その他">入力シート!$Q$157</definedName>
    <definedName name="板_一級_全数">入力シート!$O$157</definedName>
    <definedName name="板_一級_内数">入力シート!$R$157</definedName>
    <definedName name="板_希望">入力シート!$I$157</definedName>
    <definedName name="板_区分">入力シート!$K$157</definedName>
    <definedName name="板_工事高">入力シート!$T$157</definedName>
    <definedName name="板_二級_全数">入力シート!$P$157</definedName>
    <definedName name="板_二級_内数">入力シート!$S$157</definedName>
    <definedName name="板_評点">入力シート!$M$157</definedName>
    <definedName name="保険加入状況">入力シート!$I$44</definedName>
    <definedName name="法_その他">入力シート!$Q$146</definedName>
    <definedName name="法_一級_全数">入力シート!$O$146</definedName>
    <definedName name="法_一級_内数">入力シート!$R$146</definedName>
    <definedName name="法_希望">入力シート!$I$146</definedName>
    <definedName name="法_区分">入力シート!$K$146</definedName>
    <definedName name="法_工事高">入力シート!$T$146</definedName>
    <definedName name="法_二級_全数">入力シート!$P$146</definedName>
    <definedName name="法_二級_内数">入力シート!$S$146</definedName>
    <definedName name="法_評点">入力シート!$M$146</definedName>
    <definedName name="法的計画認可日">入力シート!$I$54</definedName>
    <definedName name="法的再建手続">入力シート!$I$50</definedName>
    <definedName name="法的申立日">入力シート!$I$52</definedName>
    <definedName name="防_その他">入力シート!$Q$160</definedName>
    <definedName name="防_一級_全数">入力シート!$O$160</definedName>
    <definedName name="防_一級_内数">入力シート!$R$160</definedName>
    <definedName name="防_希望">入力シート!$I$160</definedName>
    <definedName name="防_区分">入力シート!$K$160</definedName>
    <definedName name="防_工事高">入力シート!$T$160</definedName>
    <definedName name="防_二級_全数">入力シート!$P$160</definedName>
    <definedName name="防_二級_内数">入力シート!$S$160</definedName>
    <definedName name="防_評点">入力シート!$M$160</definedName>
    <definedName name="本社FAX">入力シート!$I$40</definedName>
    <definedName name="本社TEL">入力シート!$I$38</definedName>
    <definedName name="本社市町村内外区分">入力シート!$I$22</definedName>
    <definedName name="本社所在地">入力シート!$I$26</definedName>
    <definedName name="本社代表者氏名">入力シート!$I$36</definedName>
    <definedName name="本社代表者氏名カナ">入力シート!$I$34</definedName>
    <definedName name="本社代表者職名">入力シート!$I$32</definedName>
    <definedName name="本社名称">入力シート!$I$30</definedName>
    <definedName name="本社名称カナ">入力シート!$I$28</definedName>
    <definedName name="本社郵便">入力シート!$I$24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7" l="1"/>
  <c r="A170" i="7" l="1"/>
  <c r="A169" i="7"/>
  <c r="A166" i="7"/>
  <c r="A142" i="7"/>
  <c r="A141" i="7"/>
  <c r="A140" i="7"/>
  <c r="A184" i="7" l="1"/>
  <c r="A171" i="7"/>
  <c r="A168" i="7"/>
  <c r="A167" i="7"/>
  <c r="A165" i="7"/>
  <c r="A164" i="7"/>
  <c r="A163" i="7"/>
  <c r="A162" i="7"/>
  <c r="A161" i="7"/>
  <c r="A160" i="7"/>
  <c r="A159" i="7"/>
  <c r="A158" i="7"/>
  <c r="A157" i="7"/>
  <c r="A156" i="7"/>
  <c r="A155" i="7"/>
  <c r="A154" i="7"/>
  <c r="A153" i="7"/>
  <c r="A152" i="7"/>
  <c r="A151" i="7"/>
  <c r="A150" i="7"/>
  <c r="A149" i="7"/>
  <c r="A148" i="7"/>
  <c r="A147" i="7"/>
  <c r="A146" i="7"/>
  <c r="A145" i="7"/>
  <c r="A144" i="7"/>
  <c r="A143" i="7"/>
  <c r="A130" i="7"/>
  <c r="A129" i="7"/>
  <c r="A119" i="7"/>
  <c r="A117" i="7"/>
  <c r="A113" i="7"/>
  <c r="A111" i="7"/>
  <c r="A100" i="7"/>
  <c r="A98" i="7"/>
  <c r="A94" i="7"/>
  <c r="A86" i="7"/>
  <c r="A84" i="7"/>
  <c r="A82" i="7"/>
  <c r="A78" i="7"/>
  <c r="A76" i="7"/>
  <c r="A74" i="7"/>
  <c r="A72" i="7"/>
  <c r="A70" i="7"/>
  <c r="A68" i="7"/>
  <c r="A60" i="7"/>
  <c r="A58" i="7"/>
  <c r="A56" i="7"/>
  <c r="A54" i="7"/>
  <c r="A52" i="7"/>
  <c r="A50" i="7"/>
  <c r="A48" i="7"/>
  <c r="A46" i="7"/>
  <c r="A44" i="7"/>
  <c r="A42" i="7"/>
  <c r="A40" i="7"/>
  <c r="A38" i="7"/>
  <c r="A36" i="7"/>
  <c r="A32" i="7"/>
  <c r="A30" i="7"/>
  <c r="A28" i="7"/>
  <c r="A26" i="7"/>
  <c r="A24" i="7"/>
  <c r="A22" i="7"/>
  <c r="A16" i="7"/>
  <c r="A14" i="7"/>
  <c r="A12" i="7"/>
  <c r="A10" i="7"/>
  <c r="A3" i="7"/>
  <c r="A2" i="7"/>
  <c r="A1" i="7"/>
  <c r="AG76" i="8" l="1"/>
  <c r="S85" i="8" l="1"/>
  <c r="U62" i="8" l="1"/>
  <c r="U51" i="8"/>
  <c r="T19" i="8"/>
  <c r="M53" i="8" l="1"/>
  <c r="O23" i="8" l="1"/>
  <c r="AO106" i="8" l="1"/>
  <c r="AO105" i="8"/>
  <c r="AO104" i="8"/>
  <c r="AO103" i="8"/>
  <c r="AO102" i="8"/>
  <c r="AO101" i="8"/>
  <c r="AO100" i="8"/>
  <c r="AO99" i="8"/>
  <c r="AO98" i="8"/>
  <c r="AO97" i="8"/>
  <c r="AO96" i="8"/>
  <c r="AO95" i="8"/>
  <c r="AG106" i="8"/>
  <c r="AA106" i="8"/>
  <c r="W106" i="8"/>
  <c r="S106" i="8"/>
  <c r="AG105" i="8"/>
  <c r="AA105" i="8"/>
  <c r="W105" i="8"/>
  <c r="S105" i="8"/>
  <c r="AG104" i="8"/>
  <c r="AA104" i="8"/>
  <c r="W104" i="8"/>
  <c r="S104" i="8"/>
  <c r="AG103" i="8"/>
  <c r="AA103" i="8"/>
  <c r="W103" i="8"/>
  <c r="S103" i="8"/>
  <c r="AG102" i="8"/>
  <c r="AA102" i="8"/>
  <c r="W102" i="8"/>
  <c r="S102" i="8"/>
  <c r="AG101" i="8"/>
  <c r="AA101" i="8"/>
  <c r="W101" i="8"/>
  <c r="S101" i="8"/>
  <c r="AG100" i="8"/>
  <c r="AA100" i="8"/>
  <c r="W100" i="8"/>
  <c r="S100" i="8"/>
  <c r="AG99" i="8"/>
  <c r="AA99" i="8"/>
  <c r="W99" i="8"/>
  <c r="S99" i="8"/>
  <c r="AG98" i="8"/>
  <c r="AA98" i="8"/>
  <c r="W98" i="8"/>
  <c r="S98" i="8"/>
  <c r="AG97" i="8"/>
  <c r="AA97" i="8"/>
  <c r="W97" i="8"/>
  <c r="S97" i="8"/>
  <c r="AG96" i="8"/>
  <c r="AA96" i="8"/>
  <c r="W96" i="8"/>
  <c r="S96" i="8"/>
  <c r="AG95" i="8"/>
  <c r="AA95" i="8"/>
  <c r="W95" i="8"/>
  <c r="S95" i="8"/>
  <c r="AO93" i="8"/>
  <c r="AO94" i="8"/>
  <c r="AG94" i="8"/>
  <c r="AA94" i="8"/>
  <c r="W94" i="8"/>
  <c r="S94" i="8"/>
  <c r="AG93" i="8"/>
  <c r="AA93" i="8"/>
  <c r="W93" i="8"/>
  <c r="S93" i="8"/>
  <c r="AO92" i="8"/>
  <c r="AG92" i="8"/>
  <c r="AA92" i="8"/>
  <c r="W92" i="8"/>
  <c r="S92" i="8"/>
  <c r="AO91" i="8"/>
  <c r="AG91" i="8"/>
  <c r="AA91" i="8"/>
  <c r="W91" i="8"/>
  <c r="S91" i="8"/>
  <c r="W90" i="8"/>
  <c r="S90" i="8"/>
  <c r="AO89" i="8"/>
  <c r="AG89" i="8"/>
  <c r="AA89" i="8"/>
  <c r="W89" i="8"/>
  <c r="S89" i="8"/>
  <c r="AO88" i="8"/>
  <c r="AG88" i="8"/>
  <c r="AA88" i="8"/>
  <c r="W88" i="8"/>
  <c r="S88" i="8"/>
  <c r="AG87" i="8"/>
  <c r="AA87" i="8"/>
  <c r="W87" i="8"/>
  <c r="S87" i="8"/>
  <c r="AO86" i="8"/>
  <c r="AG86" i="8"/>
  <c r="AA86" i="8"/>
  <c r="W86" i="8"/>
  <c r="S86" i="8"/>
  <c r="O86" i="8"/>
  <c r="AO85" i="8"/>
  <c r="AG85" i="8"/>
  <c r="AA85" i="8"/>
  <c r="W85" i="8"/>
  <c r="AO84" i="8"/>
  <c r="AG84" i="8"/>
  <c r="AA84" i="8"/>
  <c r="W84" i="8"/>
  <c r="S84" i="8"/>
  <c r="AO83" i="8"/>
  <c r="AG83" i="8"/>
  <c r="AA83" i="8"/>
  <c r="W83" i="8"/>
  <c r="S83" i="8"/>
  <c r="AO82" i="8"/>
  <c r="AG82" i="8"/>
  <c r="AA82" i="8"/>
  <c r="W82" i="8"/>
  <c r="S82" i="8"/>
  <c r="AO81" i="8"/>
  <c r="AG81" i="8"/>
  <c r="AA81" i="8"/>
  <c r="W81" i="8"/>
  <c r="S81" i="8"/>
  <c r="O106" i="8"/>
  <c r="O105" i="8"/>
  <c r="O104" i="8"/>
  <c r="O103" i="8"/>
  <c r="O102" i="8"/>
  <c r="O101" i="8"/>
  <c r="O100" i="8"/>
  <c r="O99" i="8"/>
  <c r="O98" i="8"/>
  <c r="O97" i="8"/>
  <c r="O96" i="8"/>
  <c r="O95" i="8"/>
  <c r="O94" i="8"/>
  <c r="O93" i="8"/>
  <c r="O92" i="8"/>
  <c r="O91" i="8"/>
  <c r="O89" i="8"/>
  <c r="O88" i="8"/>
  <c r="O87" i="8"/>
  <c r="O85" i="8"/>
  <c r="O84" i="8"/>
  <c r="O83" i="8"/>
  <c r="O82" i="8"/>
  <c r="O81" i="8"/>
  <c r="O80" i="8"/>
  <c r="O79" i="8"/>
  <c r="O78" i="8"/>
  <c r="O77" i="8"/>
  <c r="O76" i="8"/>
  <c r="O75" i="8"/>
  <c r="O74" i="8"/>
  <c r="AG80" i="8" l="1"/>
  <c r="AA80" i="8"/>
  <c r="W80" i="8"/>
  <c r="S80" i="8"/>
  <c r="AO79" i="8"/>
  <c r="AG79" i="8"/>
  <c r="AA79" i="8"/>
  <c r="W79" i="8"/>
  <c r="S79" i="8"/>
  <c r="AO78" i="8"/>
  <c r="AG78" i="8"/>
  <c r="AA78" i="8"/>
  <c r="W78" i="8"/>
  <c r="S78" i="8"/>
  <c r="AO77" i="8"/>
  <c r="AG77" i="8"/>
  <c r="AA77" i="8"/>
  <c r="W77" i="8"/>
  <c r="S77" i="8"/>
  <c r="AO76" i="8"/>
  <c r="AA76" i="8"/>
  <c r="W76" i="8"/>
  <c r="S76" i="8"/>
  <c r="AG75" i="8"/>
  <c r="AA75" i="8"/>
  <c r="W75" i="8"/>
  <c r="S75" i="8"/>
  <c r="AO74" i="8"/>
  <c r="AG74" i="8"/>
  <c r="AA74" i="8"/>
  <c r="W74" i="8"/>
  <c r="S74" i="8"/>
  <c r="M54" i="8" l="1"/>
  <c r="M64" i="8" l="1"/>
  <c r="O36" i="8"/>
  <c r="Y36" i="8"/>
  <c r="X36" i="8"/>
  <c r="W36" i="8"/>
  <c r="V36" i="8"/>
  <c r="U36" i="8"/>
  <c r="T36" i="8"/>
  <c r="S36" i="8"/>
  <c r="R36" i="8"/>
  <c r="Q36" i="8"/>
  <c r="P36" i="8"/>
  <c r="O35" i="8"/>
  <c r="Y35" i="8"/>
  <c r="X35" i="8"/>
  <c r="W35" i="8"/>
  <c r="V35" i="8"/>
  <c r="U35" i="8"/>
  <c r="T35" i="8"/>
  <c r="S35" i="8"/>
  <c r="R35" i="8"/>
  <c r="Q35" i="8"/>
  <c r="P35" i="8"/>
  <c r="Z106" i="8" l="1"/>
  <c r="Y106" i="8"/>
  <c r="X106" i="8"/>
  <c r="V106" i="8"/>
  <c r="U106" i="8"/>
  <c r="T106" i="8"/>
  <c r="Z105" i="8"/>
  <c r="Y105" i="8"/>
  <c r="X105" i="8"/>
  <c r="V105" i="8"/>
  <c r="U105" i="8"/>
  <c r="T105" i="8"/>
  <c r="Z104" i="8"/>
  <c r="Y104" i="8"/>
  <c r="X104" i="8"/>
  <c r="V104" i="8"/>
  <c r="U104" i="8"/>
  <c r="T104" i="8"/>
  <c r="Z103" i="8"/>
  <c r="Y103" i="8"/>
  <c r="X103" i="8"/>
  <c r="V103" i="8"/>
  <c r="U103" i="8"/>
  <c r="T103" i="8"/>
  <c r="Z102" i="8"/>
  <c r="Y102" i="8"/>
  <c r="X102" i="8"/>
  <c r="V102" i="8"/>
  <c r="U102" i="8"/>
  <c r="T102" i="8"/>
  <c r="Z101" i="8"/>
  <c r="Y101" i="8"/>
  <c r="X101" i="8"/>
  <c r="V101" i="8"/>
  <c r="U101" i="8"/>
  <c r="T101" i="8"/>
  <c r="Z100" i="8"/>
  <c r="Y100" i="8"/>
  <c r="X100" i="8"/>
  <c r="V100" i="8"/>
  <c r="U100" i="8"/>
  <c r="T100" i="8"/>
  <c r="Z99" i="8"/>
  <c r="Y99" i="8"/>
  <c r="X99" i="8"/>
  <c r="V99" i="8"/>
  <c r="U99" i="8"/>
  <c r="T99" i="8"/>
  <c r="Z98" i="8"/>
  <c r="Y98" i="8"/>
  <c r="X98" i="8"/>
  <c r="V98" i="8"/>
  <c r="U98" i="8"/>
  <c r="T98" i="8"/>
  <c r="Z97" i="8"/>
  <c r="Y97" i="8"/>
  <c r="X97" i="8"/>
  <c r="V97" i="8"/>
  <c r="U97" i="8"/>
  <c r="T97" i="8"/>
  <c r="Z96" i="8"/>
  <c r="Y96" i="8"/>
  <c r="X96" i="8"/>
  <c r="V96" i="8"/>
  <c r="U96" i="8"/>
  <c r="T96" i="8"/>
  <c r="Z95" i="8"/>
  <c r="Y95" i="8"/>
  <c r="X95" i="8"/>
  <c r="V95" i="8"/>
  <c r="U95" i="8"/>
  <c r="T95" i="8"/>
  <c r="Z94" i="8"/>
  <c r="Y94" i="8"/>
  <c r="X94" i="8"/>
  <c r="V94" i="8"/>
  <c r="U94" i="8"/>
  <c r="T94" i="8"/>
  <c r="Z93" i="8"/>
  <c r="Y93" i="8"/>
  <c r="X93" i="8"/>
  <c r="V93" i="8"/>
  <c r="U93" i="8"/>
  <c r="T93" i="8"/>
  <c r="Z92" i="8"/>
  <c r="Y92" i="8"/>
  <c r="X92" i="8"/>
  <c r="V92" i="8"/>
  <c r="U92" i="8"/>
  <c r="T92" i="8"/>
  <c r="Z91" i="8"/>
  <c r="Y91" i="8"/>
  <c r="X91" i="8"/>
  <c r="V91" i="8"/>
  <c r="U91" i="8"/>
  <c r="T91" i="8"/>
  <c r="Z89" i="8"/>
  <c r="Y89" i="8"/>
  <c r="X89" i="8"/>
  <c r="V89" i="8"/>
  <c r="U89" i="8"/>
  <c r="T89" i="8"/>
  <c r="Z88" i="8"/>
  <c r="Y88" i="8"/>
  <c r="X88" i="8"/>
  <c r="V88" i="8"/>
  <c r="U88" i="8"/>
  <c r="T88" i="8"/>
  <c r="Z87" i="8"/>
  <c r="Y87" i="8"/>
  <c r="X87" i="8"/>
  <c r="V87" i="8"/>
  <c r="U87" i="8"/>
  <c r="T87" i="8"/>
  <c r="Z86" i="8"/>
  <c r="Y86" i="8"/>
  <c r="X86" i="8"/>
  <c r="V86" i="8"/>
  <c r="U86" i="8"/>
  <c r="T86" i="8"/>
  <c r="Z85" i="8"/>
  <c r="Y85" i="8"/>
  <c r="X85" i="8"/>
  <c r="V85" i="8"/>
  <c r="U85" i="8"/>
  <c r="T85" i="8"/>
  <c r="Z84" i="8"/>
  <c r="Y84" i="8"/>
  <c r="X84" i="8"/>
  <c r="V84" i="8"/>
  <c r="U84" i="8"/>
  <c r="T84" i="8"/>
  <c r="Z83" i="8"/>
  <c r="Y83" i="8"/>
  <c r="X83" i="8"/>
  <c r="V83" i="8"/>
  <c r="U83" i="8"/>
  <c r="T83" i="8"/>
  <c r="Z82" i="8"/>
  <c r="Y82" i="8"/>
  <c r="X82" i="8"/>
  <c r="V82" i="8"/>
  <c r="U82" i="8"/>
  <c r="T82" i="8"/>
  <c r="Z81" i="8"/>
  <c r="Y81" i="8"/>
  <c r="X81" i="8"/>
  <c r="V81" i="8"/>
  <c r="U81" i="8"/>
  <c r="T81" i="8"/>
  <c r="Z80" i="8"/>
  <c r="Y80" i="8"/>
  <c r="X80" i="8"/>
  <c r="V80" i="8"/>
  <c r="U80" i="8"/>
  <c r="T80" i="8"/>
  <c r="Z79" i="8"/>
  <c r="Y79" i="8"/>
  <c r="X79" i="8"/>
  <c r="V79" i="8"/>
  <c r="U79" i="8"/>
  <c r="T79" i="8"/>
  <c r="Z78" i="8"/>
  <c r="Y78" i="8"/>
  <c r="X78" i="8"/>
  <c r="V78" i="8"/>
  <c r="U78" i="8"/>
  <c r="T78" i="8"/>
  <c r="Z77" i="8"/>
  <c r="Y77" i="8"/>
  <c r="X77" i="8"/>
  <c r="V77" i="8"/>
  <c r="U77" i="8"/>
  <c r="T77" i="8"/>
  <c r="Z76" i="8"/>
  <c r="Y76" i="8"/>
  <c r="X76" i="8"/>
  <c r="V76" i="8"/>
  <c r="U76" i="8"/>
  <c r="T76" i="8"/>
  <c r="Z75" i="8"/>
  <c r="Y75" i="8"/>
  <c r="X75" i="8"/>
  <c r="V75" i="8"/>
  <c r="U75" i="8"/>
  <c r="T75" i="8"/>
  <c r="Z74" i="8"/>
  <c r="Y74" i="8"/>
  <c r="X74" i="8"/>
  <c r="V74" i="8"/>
  <c r="U74" i="8"/>
  <c r="T74" i="8"/>
  <c r="AI67" i="8"/>
  <c r="M67" i="8"/>
  <c r="M65" i="8"/>
  <c r="O62" i="8"/>
  <c r="AI59" i="8"/>
  <c r="M59" i="8"/>
  <c r="X57" i="8"/>
  <c r="M57" i="8"/>
  <c r="X56" i="8"/>
  <c r="O51" i="8"/>
  <c r="M48" i="8"/>
  <c r="AI46" i="8"/>
  <c r="M46" i="8"/>
  <c r="M44" i="8"/>
  <c r="M43" i="8"/>
  <c r="M41" i="8"/>
  <c r="M38" i="8"/>
  <c r="AJ36" i="8"/>
  <c r="AI36" i="8"/>
  <c r="AH36" i="8"/>
  <c r="AG36" i="8"/>
  <c r="AF36" i="8"/>
  <c r="AE36" i="8"/>
  <c r="AD36" i="8"/>
  <c r="AC36" i="8"/>
  <c r="AB36" i="8"/>
  <c r="AA36" i="8"/>
  <c r="Z36" i="8"/>
  <c r="AJ35" i="8"/>
  <c r="AI35" i="8"/>
  <c r="AH35" i="8"/>
  <c r="AG35" i="8"/>
  <c r="AF35" i="8"/>
  <c r="AE35" i="8"/>
  <c r="AD35" i="8"/>
  <c r="AC35" i="8"/>
  <c r="AB35" i="8"/>
  <c r="AA35" i="8"/>
  <c r="Z35" i="8"/>
  <c r="AJ31" i="8"/>
  <c r="M31" i="8"/>
  <c r="M29" i="8"/>
  <c r="AI25" i="8"/>
  <c r="AT27" i="8"/>
  <c r="AD27" i="8"/>
  <c r="M27" i="8"/>
  <c r="AI21" i="8"/>
  <c r="M21" i="8"/>
  <c r="O19" i="8"/>
  <c r="X17" i="8"/>
  <c r="M17" i="8"/>
  <c r="X16" i="8"/>
  <c r="M14" i="8"/>
  <c r="M12" i="8"/>
  <c r="M11" i="8"/>
  <c r="F7" i="8"/>
  <c r="B5" i="8"/>
  <c r="B3" i="8"/>
  <c r="AO2" i="8"/>
  <c r="B1" i="8"/>
  <c r="C1" i="7" l="1"/>
  <c r="D1" i="5" l="1"/>
  <c r="D2" i="5" s="1"/>
  <c r="C1" i="5" s="1"/>
  <c r="M25" i="8" s="1"/>
  <c r="A5" i="5" l="1"/>
  <c r="A2" i="5"/>
</calcChain>
</file>

<file path=xl/sharedStrings.xml><?xml version="1.0" encoding="utf-8"?>
<sst xmlns="http://schemas.openxmlformats.org/spreadsheetml/2006/main" count="359" uniqueCount="255">
  <si>
    <t>市町村内外区分</t>
    <rPh sb="0" eb="3">
      <t>シチョウソン</t>
    </rPh>
    <rPh sb="3" eb="5">
      <t>ナイガイ</t>
    </rPh>
    <rPh sb="5" eb="7">
      <t>クブン</t>
    </rPh>
    <phoneticPr fontId="6"/>
  </si>
  <si>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</si>
  <si>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</si>
  <si>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</si>
  <si>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</si>
  <si>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</si>
  <si>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</si>
  <si>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</si>
  <si>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</si>
  <si>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</si>
  <si>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営業所名称カナ</t>
    <rPh sb="0" eb="3">
      <t>エイギョウショ</t>
    </rPh>
    <rPh sb="3" eb="5">
      <t>メイショウ</t>
    </rPh>
    <phoneticPr fontId="6"/>
  </si>
  <si>
    <t>営業所名称</t>
    <rPh sb="0" eb="3">
      <t>エイギョウショ</t>
    </rPh>
    <rPh sb="3" eb="5">
      <t>メイショウ</t>
    </rPh>
    <phoneticPr fontId="6"/>
  </si>
  <si>
    <t>申請代理人氏名カナ</t>
    <rPh sb="0" eb="2">
      <t>シンセイ</t>
    </rPh>
    <rPh sb="2" eb="5">
      <t>ダイリニン</t>
    </rPh>
    <rPh sb="5" eb="7">
      <t>シメイ</t>
    </rPh>
    <phoneticPr fontId="6"/>
  </si>
  <si>
    <t>申請代理人氏名</t>
    <rPh sb="0" eb="2">
      <t>シンセイ</t>
    </rPh>
    <rPh sb="2" eb="5">
      <t>ダイリニン</t>
    </rPh>
    <rPh sb="5" eb="7">
      <t>シメイ</t>
    </rPh>
    <phoneticPr fontId="6"/>
  </si>
  <si>
    <t>営業年数</t>
    <rPh sb="0" eb="2">
      <t>エイギョウ</t>
    </rPh>
    <rPh sb="2" eb="4">
      <t>ネンスウ</t>
    </rPh>
    <phoneticPr fontId="6"/>
  </si>
  <si>
    <t>総合評点（P)
（点）</t>
    <rPh sb="9" eb="10">
      <t>テン</t>
    </rPh>
    <phoneticPr fontId="5"/>
  </si>
  <si>
    <t>大工工事業</t>
  </si>
  <si>
    <t>左官工事業</t>
  </si>
  <si>
    <t>石工事業</t>
  </si>
  <si>
    <t>屋根工事業</t>
  </si>
  <si>
    <t>タイル・レンガ・ブロック工事業</t>
  </si>
  <si>
    <t>鉄筋工事業</t>
  </si>
  <si>
    <t>しゅんせつ工事業</t>
  </si>
  <si>
    <t>板金工事業</t>
  </si>
  <si>
    <t>ガラス工事業</t>
  </si>
  <si>
    <t>塗装工事業</t>
  </si>
  <si>
    <t>防水工事業</t>
  </si>
  <si>
    <t>内装仕上工事業</t>
  </si>
  <si>
    <t>機械器具設置工事業</t>
  </si>
  <si>
    <t>熱絶縁工事業</t>
  </si>
  <si>
    <t>電気通信工事業</t>
  </si>
  <si>
    <t>造園工事業</t>
  </si>
  <si>
    <t>さく井工事業</t>
  </si>
  <si>
    <t>建具工事業</t>
  </si>
  <si>
    <t>水道施設工事業</t>
  </si>
  <si>
    <t>消防施設工事業</t>
  </si>
  <si>
    <t>清掃施設工事業</t>
  </si>
  <si>
    <t>P地区区分</t>
    <rPh sb="1" eb="3">
      <t>チク</t>
    </rPh>
    <rPh sb="3" eb="5">
      <t>クブン</t>
    </rPh>
    <phoneticPr fontId="6"/>
  </si>
  <si>
    <t>国土交通大臣</t>
    <rPh sb="0" eb="2">
      <t>コクド</t>
    </rPh>
    <rPh sb="2" eb="4">
      <t>コウツウ</t>
    </rPh>
    <rPh sb="4" eb="6">
      <t>ダイジン</t>
    </rPh>
    <phoneticPr fontId="5"/>
  </si>
  <si>
    <t>北海道知事</t>
    <phoneticPr fontId="5"/>
  </si>
  <si>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</si>
  <si>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</si>
  <si>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</si>
  <si>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</si>
  <si>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</si>
  <si>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</si>
  <si>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</si>
  <si>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</si>
  <si>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</si>
  <si>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</si>
  <si>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</si>
  <si>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phoneticPr fontId="5"/>
  </si>
  <si>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</si>
  <si>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</si>
  <si>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</si>
  <si>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</si>
  <si>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</si>
  <si>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</si>
  <si>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</si>
  <si>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</si>
  <si>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</si>
  <si>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</si>
  <si>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</si>
  <si>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</si>
  <si>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phoneticPr fontId="5"/>
  </si>
  <si>
    <t>大阪府知事</t>
    <phoneticPr fontId="5"/>
  </si>
  <si>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</si>
  <si>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</si>
  <si>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</si>
  <si>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</si>
  <si>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</si>
  <si>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</si>
  <si>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</si>
  <si>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</si>
  <si>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</si>
  <si>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</si>
  <si>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</si>
  <si>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</si>
  <si>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</si>
  <si>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</si>
  <si>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</si>
  <si>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</si>
  <si>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</si>
  <si>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</si>
  <si>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</si>
  <si>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</si>
  <si>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県内</t>
    <rPh sb="0" eb="2">
      <t>ケンナイ</t>
    </rPh>
    <phoneticPr fontId="6"/>
  </si>
  <si>
    <t>県外</t>
    <rPh sb="0" eb="2">
      <t>ケンガイ</t>
    </rPh>
    <phoneticPr fontId="6"/>
  </si>
  <si>
    <t>E-mailアドレス</t>
    <phoneticPr fontId="6"/>
  </si>
  <si>
    <t>背景色が水色、またはピンク色の項目を入力してください。ピンク色は必須項目です。</t>
    <rPh sb="0" eb="3">
      <t>ハイケイショク</t>
    </rPh>
    <rPh sb="4" eb="6">
      <t>ミズイロ</t>
    </rPh>
    <rPh sb="13" eb="14">
      <t>イロ</t>
    </rPh>
    <rPh sb="15" eb="17">
      <t>コウモク</t>
    </rPh>
    <rPh sb="18" eb="20">
      <t>ニュウリョク</t>
    </rPh>
    <rPh sb="30" eb="31">
      <t>イロ</t>
    </rPh>
    <rPh sb="32" eb="34">
      <t>ヒッス</t>
    </rPh>
    <rPh sb="34" eb="36">
      <t>コウモク</t>
    </rPh>
    <phoneticPr fontId="5"/>
  </si>
  <si>
    <t>エクセルの計算方法は「自動」に設定してください。</t>
    <rPh sb="5" eb="7">
      <t>ケイサン</t>
    </rPh>
    <rPh sb="7" eb="9">
      <t>ホウホウ</t>
    </rPh>
    <rPh sb="11" eb="13">
      <t>ジドウ</t>
    </rPh>
    <rPh sb="15" eb="17">
      <t>セッテイ</t>
    </rPh>
    <phoneticPr fontId="5"/>
  </si>
  <si>
    <t>行の追加、削除、シートの変更などはできません。</t>
    <rPh sb="0" eb="1">
      <t>ギョウ</t>
    </rPh>
    <rPh sb="2" eb="4">
      <t>ツイカ</t>
    </rPh>
    <rPh sb="5" eb="7">
      <t>サクジョ</t>
    </rPh>
    <rPh sb="12" eb="14">
      <t>ヘンコウ</t>
    </rPh>
    <phoneticPr fontId="5"/>
  </si>
  <si>
    <t>申請年月日</t>
    <rPh sb="0" eb="2">
      <t>シンセイ</t>
    </rPh>
    <rPh sb="2" eb="5">
      <t>ネンガッピ</t>
    </rPh>
    <phoneticPr fontId="18"/>
  </si>
  <si>
    <t>個人・法人区分</t>
    <rPh sb="0" eb="2">
      <t>コジン</t>
    </rPh>
    <rPh sb="3" eb="5">
      <t>ホウジン</t>
    </rPh>
    <rPh sb="5" eb="7">
      <t>クブン</t>
    </rPh>
    <phoneticPr fontId="18"/>
  </si>
  <si>
    <t>委任先 有・無</t>
    <rPh sb="0" eb="2">
      <t>イニン</t>
    </rPh>
    <rPh sb="2" eb="3">
      <t>サキ</t>
    </rPh>
    <rPh sb="4" eb="5">
      <t>アリ</t>
    </rPh>
    <rPh sb="6" eb="7">
      <t>ナシ</t>
    </rPh>
    <phoneticPr fontId="18"/>
  </si>
  <si>
    <t>申請代理人 有・無</t>
    <rPh sb="0" eb="2">
      <t>シンセイ</t>
    </rPh>
    <rPh sb="2" eb="5">
      <t>ダイリニン</t>
    </rPh>
    <rPh sb="6" eb="7">
      <t>アリ</t>
    </rPh>
    <rPh sb="8" eb="9">
      <t>ナシ</t>
    </rPh>
    <phoneticPr fontId="18"/>
  </si>
  <si>
    <t>本社情報</t>
    <rPh sb="0" eb="2">
      <t>ホンシャ</t>
    </rPh>
    <rPh sb="2" eb="4">
      <t>ジョウホウ</t>
    </rPh>
    <phoneticPr fontId="5"/>
  </si>
  <si>
    <t>リストから選択してください。</t>
    <rPh sb="5" eb="7">
      <t>センタク</t>
    </rPh>
    <phoneticPr fontId="5"/>
  </si>
  <si>
    <t>＊</t>
    <phoneticPr fontId="5"/>
  </si>
  <si>
    <t xml:space="preserve"> ＊</t>
    <phoneticPr fontId="5"/>
  </si>
  <si>
    <t>基本情報</t>
    <rPh sb="0" eb="2">
      <t>キホン</t>
    </rPh>
    <rPh sb="2" eb="4">
      <t>ジョウホウ</t>
    </rPh>
    <phoneticPr fontId="5"/>
  </si>
  <si>
    <t>営業所情報</t>
    <rPh sb="0" eb="3">
      <t>エイギョウショ</t>
    </rPh>
    <rPh sb="3" eb="5">
      <t>ジョウホウ</t>
    </rPh>
    <phoneticPr fontId="5"/>
  </si>
  <si>
    <t>リストから選択してください。「有」の場合は【営業所情報】を入力してください。</t>
    <phoneticPr fontId="5"/>
  </si>
  <si>
    <t>全角カタカナで入力してください。姓と名は１文字分空けてください。</t>
    <phoneticPr fontId="5"/>
  </si>
  <si>
    <t>半角の数字と記号で入力してください。</t>
    <phoneticPr fontId="5"/>
  </si>
  <si>
    <t>姓と名は１文字分空けてください。</t>
    <phoneticPr fontId="5"/>
  </si>
  <si>
    <t>担当者情報</t>
    <rPh sb="0" eb="3">
      <t>タントウシャ</t>
    </rPh>
    <rPh sb="3" eb="5">
      <t>ジョウホウ</t>
    </rPh>
    <phoneticPr fontId="5"/>
  </si>
  <si>
    <t>申請代理人情報</t>
    <rPh sb="0" eb="2">
      <t>シンセイ</t>
    </rPh>
    <rPh sb="2" eb="5">
      <t>ダイリニン</t>
    </rPh>
    <rPh sb="5" eb="7">
      <t>ジョウホウ</t>
    </rPh>
    <phoneticPr fontId="5"/>
  </si>
  <si>
    <t>業種情報</t>
    <rPh sb="0" eb="2">
      <t>ギョウシュ</t>
    </rPh>
    <rPh sb="2" eb="4">
      <t>ジョウホウ</t>
    </rPh>
    <phoneticPr fontId="5"/>
  </si>
  <si>
    <t>業種名</t>
    <rPh sb="0" eb="2">
      <t>ギョウシュ</t>
    </rPh>
    <rPh sb="2" eb="3">
      <t>メイ</t>
    </rPh>
    <phoneticPr fontId="5"/>
  </si>
  <si>
    <t>　プレストレストコンクリート</t>
    <phoneticPr fontId="5"/>
  </si>
  <si>
    <t>リストから選択してください。「有」の場合は【申請代理人情報】を入力してください。</t>
    <rPh sb="22" eb="24">
      <t>シンセイ</t>
    </rPh>
    <rPh sb="24" eb="27">
      <t>ダイリニン</t>
    </rPh>
    <phoneticPr fontId="5"/>
  </si>
  <si>
    <t>許可番号</t>
    <rPh sb="0" eb="2">
      <t>キョカ</t>
    </rPh>
    <rPh sb="2" eb="4">
      <t>バンゴウ</t>
    </rPh>
    <phoneticPr fontId="6"/>
  </si>
  <si>
    <t>平均完成工事高
（千円）</t>
    <rPh sb="9" eb="11">
      <t>センエン</t>
    </rPh>
    <phoneticPr fontId="5"/>
  </si>
  <si>
    <t>*1</t>
    <phoneticPr fontId="5"/>
  </si>
  <si>
    <t>社会保険等の加入状況</t>
    <rPh sb="0" eb="2">
      <t>シャカイ</t>
    </rPh>
    <rPh sb="2" eb="4">
      <t>ホケン</t>
    </rPh>
    <rPh sb="4" eb="5">
      <t>トウ</t>
    </rPh>
    <rPh sb="6" eb="8">
      <t>カニュウ</t>
    </rPh>
    <rPh sb="8" eb="10">
      <t>ジョウキョウ</t>
    </rPh>
    <phoneticPr fontId="6"/>
  </si>
  <si>
    <t>法的再建手続</t>
    <rPh sb="0" eb="2">
      <t>ホウテキ</t>
    </rPh>
    <rPh sb="2" eb="4">
      <t>サイケン</t>
    </rPh>
    <rPh sb="4" eb="6">
      <t>テツヅキ</t>
    </rPh>
    <phoneticPr fontId="6"/>
  </si>
  <si>
    <t>法的再建手続 申立日</t>
    <rPh sb="0" eb="2">
      <t>ホウテキ</t>
    </rPh>
    <rPh sb="2" eb="4">
      <t>サイケン</t>
    </rPh>
    <rPh sb="4" eb="6">
      <t>テツヅキ</t>
    </rPh>
    <rPh sb="7" eb="9">
      <t>モウシタテ</t>
    </rPh>
    <rPh sb="9" eb="10">
      <t>ビ</t>
    </rPh>
    <phoneticPr fontId="18"/>
  </si>
  <si>
    <t>法的再建手続 計画認可日</t>
    <rPh sb="0" eb="2">
      <t>ホウテキ</t>
    </rPh>
    <rPh sb="2" eb="4">
      <t>サイケン</t>
    </rPh>
    <rPh sb="4" eb="6">
      <t>テツヅキ</t>
    </rPh>
    <rPh sb="7" eb="9">
      <t>ケイカク</t>
    </rPh>
    <rPh sb="9" eb="11">
      <t>ニンカ</t>
    </rPh>
    <rPh sb="11" eb="12">
      <t>ビ</t>
    </rPh>
    <phoneticPr fontId="18"/>
  </si>
  <si>
    <t>許可年月日</t>
    <phoneticPr fontId="5"/>
  </si>
  <si>
    <t>機械・運搬具の保有残高</t>
    <rPh sb="0" eb="2">
      <t>キカイ</t>
    </rPh>
    <rPh sb="3" eb="5">
      <t>ウンパン</t>
    </rPh>
    <rPh sb="5" eb="6">
      <t>グ</t>
    </rPh>
    <rPh sb="7" eb="9">
      <t>ホユウ</t>
    </rPh>
    <rPh sb="9" eb="11">
      <t>ザンダカ</t>
    </rPh>
    <phoneticPr fontId="6"/>
  </si>
  <si>
    <t>規格</t>
    <rPh sb="0" eb="2">
      <t>キカク</t>
    </rPh>
    <phoneticPr fontId="6"/>
  </si>
  <si>
    <t>取得の有無</t>
    <rPh sb="0" eb="2">
      <t>シュトク</t>
    </rPh>
    <rPh sb="3" eb="5">
      <t>ウム</t>
    </rPh>
    <phoneticPr fontId="6"/>
  </si>
  <si>
    <t>ISO9001</t>
    <phoneticPr fontId="6"/>
  </si>
  <si>
    <t>ISO14001</t>
    <phoneticPr fontId="6"/>
  </si>
  <si>
    <t>ISO情報</t>
    <rPh sb="3" eb="5">
      <t>ジョウホウ</t>
    </rPh>
    <phoneticPr fontId="5"/>
  </si>
  <si>
    <t>技術者情報</t>
    <rPh sb="0" eb="3">
      <t>ギジュツシャ</t>
    </rPh>
    <rPh sb="3" eb="5">
      <t>ジョウホウ</t>
    </rPh>
    <phoneticPr fontId="5"/>
  </si>
  <si>
    <t>資格名</t>
    <rPh sb="0" eb="2">
      <t>シカク</t>
    </rPh>
    <rPh sb="2" eb="3">
      <t>メイ</t>
    </rPh>
    <phoneticPr fontId="5"/>
  </si>
  <si>
    <t xml:space="preserve">県内在住技術者数（人） </t>
    <phoneticPr fontId="5"/>
  </si>
  <si>
    <t>一級</t>
    <rPh sb="0" eb="2">
      <t>イッキュウ</t>
    </rPh>
    <phoneticPr fontId="5"/>
  </si>
  <si>
    <t>二級</t>
    <phoneticPr fontId="5"/>
  </si>
  <si>
    <t>申請者</t>
    <rPh sb="0" eb="2">
      <t>シンセイ</t>
    </rPh>
    <rPh sb="2" eb="3">
      <t>シャ</t>
    </rPh>
    <phoneticPr fontId="6"/>
  </si>
  <si>
    <t>商号又は名称</t>
    <rPh sb="0" eb="2">
      <t>ショウゴウ</t>
    </rPh>
    <rPh sb="2" eb="3">
      <t>マタ</t>
    </rPh>
    <rPh sb="4" eb="6">
      <t>メイショウ</t>
    </rPh>
    <phoneticPr fontId="24"/>
  </si>
  <si>
    <t>法人・個人</t>
    <rPh sb="0" eb="2">
      <t>ホウジン</t>
    </rPh>
    <rPh sb="3" eb="5">
      <t>コジン</t>
    </rPh>
    <phoneticPr fontId="5"/>
  </si>
  <si>
    <t>代表者職氏名</t>
    <rPh sb="0" eb="3">
      <t>ダイヒョウシャ</t>
    </rPh>
    <rPh sb="3" eb="4">
      <t>ショク</t>
    </rPh>
    <rPh sb="4" eb="5">
      <t>ウジ</t>
    </rPh>
    <rPh sb="5" eb="6">
      <t>ナ</t>
    </rPh>
    <phoneticPr fontId="24"/>
  </si>
  <si>
    <t>住所又は所在地</t>
    <phoneticPr fontId="5"/>
  </si>
  <si>
    <t>〒</t>
  </si>
  <si>
    <t>電話番号</t>
    <rPh sb="0" eb="2">
      <t>デンワ</t>
    </rPh>
    <rPh sb="2" eb="4">
      <t>バンゴウ</t>
    </rPh>
    <phoneticPr fontId="24"/>
  </si>
  <si>
    <t>F A X 番号</t>
    <phoneticPr fontId="5"/>
  </si>
  <si>
    <t>営業年数</t>
    <rPh sb="0" eb="2">
      <t>エイギョウ</t>
    </rPh>
    <rPh sb="2" eb="4">
      <t>ネンスウ</t>
    </rPh>
    <phoneticPr fontId="24"/>
  </si>
  <si>
    <t>法的再建手続</t>
    <rPh sb="0" eb="2">
      <t>ホウテキ</t>
    </rPh>
    <rPh sb="2" eb="4">
      <t>サイケン</t>
    </rPh>
    <rPh sb="4" eb="6">
      <t>テツヅキ</t>
    </rPh>
    <phoneticPr fontId="24"/>
  </si>
  <si>
    <t>申立日</t>
    <rPh sb="0" eb="2">
      <t>モウシタテ</t>
    </rPh>
    <rPh sb="2" eb="3">
      <t>ビ</t>
    </rPh>
    <phoneticPr fontId="5"/>
  </si>
  <si>
    <t>計画認可日</t>
    <rPh sb="0" eb="2">
      <t>ケイカク</t>
    </rPh>
    <rPh sb="2" eb="4">
      <t>ニンカ</t>
    </rPh>
    <rPh sb="4" eb="5">
      <t>ビ</t>
    </rPh>
    <phoneticPr fontId="5"/>
  </si>
  <si>
    <t>許可番号</t>
    <rPh sb="0" eb="2">
      <t>キョカ</t>
    </rPh>
    <rPh sb="2" eb="4">
      <t>バンゴウ</t>
    </rPh>
    <phoneticPr fontId="24"/>
  </si>
  <si>
    <t>許可年月日</t>
    <rPh sb="0" eb="2">
      <t>キョカ</t>
    </rPh>
    <rPh sb="2" eb="5">
      <t>ネンガッピ</t>
    </rPh>
    <phoneticPr fontId="24"/>
  </si>
  <si>
    <t>社会保険等加入状況</t>
    <rPh sb="0" eb="2">
      <t>シャカイ</t>
    </rPh>
    <rPh sb="2" eb="4">
      <t>ホケン</t>
    </rPh>
    <rPh sb="4" eb="5">
      <t>トウ</t>
    </rPh>
    <rPh sb="5" eb="7">
      <t>カニュウ</t>
    </rPh>
    <rPh sb="7" eb="9">
      <t>ジョウキョウ</t>
    </rPh>
    <phoneticPr fontId="24"/>
  </si>
  <si>
    <t>経審審査基準日</t>
    <rPh sb="0" eb="1">
      <t>キョウ</t>
    </rPh>
    <rPh sb="1" eb="2">
      <t>シン</t>
    </rPh>
    <rPh sb="2" eb="4">
      <t>シンサ</t>
    </rPh>
    <rPh sb="4" eb="6">
      <t>キジュン</t>
    </rPh>
    <rPh sb="6" eb="7">
      <t>ビ</t>
    </rPh>
    <phoneticPr fontId="24"/>
  </si>
  <si>
    <t>ISO</t>
    <phoneticPr fontId="35"/>
  </si>
  <si>
    <t>有効期間満了日</t>
    <rPh sb="0" eb="2">
      <t>ユウコウ</t>
    </rPh>
    <rPh sb="2" eb="4">
      <t>キカン</t>
    </rPh>
    <rPh sb="4" eb="6">
      <t>マンリョウ</t>
    </rPh>
    <rPh sb="6" eb="7">
      <t>ビ</t>
    </rPh>
    <phoneticPr fontId="6"/>
  </si>
  <si>
    <t>機械・運搬具の
保有残高</t>
    <rPh sb="0" eb="2">
      <t>キカイ</t>
    </rPh>
    <rPh sb="3" eb="5">
      <t>ウンパン</t>
    </rPh>
    <rPh sb="5" eb="6">
      <t>グ</t>
    </rPh>
    <rPh sb="8" eb="10">
      <t>ホユウ</t>
    </rPh>
    <rPh sb="10" eb="12">
      <t>ザンダカ</t>
    </rPh>
    <phoneticPr fontId="24"/>
  </si>
  <si>
    <t>千円</t>
    <rPh sb="0" eb="2">
      <t>センエン</t>
    </rPh>
    <phoneticPr fontId="5"/>
  </si>
  <si>
    <t>担当者</t>
    <rPh sb="0" eb="3">
      <t>タントウシャ</t>
    </rPh>
    <phoneticPr fontId="6"/>
  </si>
  <si>
    <t>担当者部課名</t>
    <rPh sb="0" eb="3">
      <t>タントウシャ</t>
    </rPh>
    <rPh sb="3" eb="5">
      <t>ブカ</t>
    </rPh>
    <rPh sb="5" eb="6">
      <t>メイ</t>
    </rPh>
    <phoneticPr fontId="24"/>
  </si>
  <si>
    <t>担当者名</t>
    <rPh sb="0" eb="3">
      <t>タントウシャ</t>
    </rPh>
    <rPh sb="3" eb="4">
      <t>メイ</t>
    </rPh>
    <phoneticPr fontId="24"/>
  </si>
  <si>
    <t>メールアドレス</t>
    <phoneticPr fontId="5"/>
  </si>
  <si>
    <t>営業所</t>
    <rPh sb="0" eb="3">
      <t>エイギョウショ</t>
    </rPh>
    <phoneticPr fontId="6"/>
  </si>
  <si>
    <t>営業所名</t>
    <rPh sb="0" eb="3">
      <t>エイギョウショ</t>
    </rPh>
    <rPh sb="3" eb="4">
      <t>メイ</t>
    </rPh>
    <phoneticPr fontId="24"/>
  </si>
  <si>
    <t>行政書士</t>
    <rPh sb="0" eb="2">
      <t>ギョウセイ</t>
    </rPh>
    <rPh sb="2" eb="4">
      <t>ショシ</t>
    </rPh>
    <phoneticPr fontId="6"/>
  </si>
  <si>
    <t>行政書士名</t>
    <rPh sb="0" eb="2">
      <t>ギョウセイ</t>
    </rPh>
    <rPh sb="2" eb="4">
      <t>ショシ</t>
    </rPh>
    <rPh sb="4" eb="5">
      <t>メイ</t>
    </rPh>
    <phoneticPr fontId="5"/>
  </si>
  <si>
    <t>希望する工事業種</t>
    <rPh sb="0" eb="2">
      <t>キボウ</t>
    </rPh>
    <rPh sb="4" eb="6">
      <t>コウジ</t>
    </rPh>
    <rPh sb="6" eb="8">
      <t>ギョウシュ</t>
    </rPh>
    <phoneticPr fontId="6"/>
  </si>
  <si>
    <t>業種名</t>
    <rPh sb="0" eb="2">
      <t>ギョウシュ</t>
    </rPh>
    <rPh sb="2" eb="3">
      <t>メイ</t>
    </rPh>
    <phoneticPr fontId="35"/>
  </si>
  <si>
    <t>申請</t>
  </si>
  <si>
    <t>県内在住の資格者</t>
    <rPh sb="0" eb="2">
      <t>ケンナイ</t>
    </rPh>
    <rPh sb="2" eb="4">
      <t>ザイジュウ</t>
    </rPh>
    <rPh sb="5" eb="8">
      <t>シカクシャ</t>
    </rPh>
    <phoneticPr fontId="5"/>
  </si>
  <si>
    <t>経審
点数</t>
  </si>
  <si>
    <t>経審平均
完成工事高
(単位:千円)</t>
    <rPh sb="0" eb="1">
      <t>キョウ</t>
    </rPh>
    <rPh sb="1" eb="2">
      <t>シン</t>
    </rPh>
    <rPh sb="2" eb="4">
      <t>ヘイキン</t>
    </rPh>
    <rPh sb="5" eb="7">
      <t>カンセイ</t>
    </rPh>
    <rPh sb="7" eb="9">
      <t>コウジ</t>
    </rPh>
    <rPh sb="9" eb="10">
      <t>ダカ</t>
    </rPh>
    <rPh sb="12" eb="14">
      <t>タンイ</t>
    </rPh>
    <rPh sb="15" eb="17">
      <t>センエン</t>
    </rPh>
    <phoneticPr fontId="35"/>
  </si>
  <si>
    <t>許可
区分</t>
  </si>
  <si>
    <t>１級</t>
    <rPh sb="1" eb="2">
      <t>キュウ</t>
    </rPh>
    <phoneticPr fontId="5"/>
  </si>
  <si>
    <t>２級</t>
    <rPh sb="1" eb="2">
      <t>キュウ</t>
    </rPh>
    <phoneticPr fontId="5"/>
  </si>
  <si>
    <t>土木一式工事業</t>
    <rPh sb="6" eb="7">
      <t>ギョウ</t>
    </rPh>
    <phoneticPr fontId="5"/>
  </si>
  <si>
    <t>建築一式工事業</t>
    <rPh sb="6" eb="7">
      <t>ギョウ</t>
    </rPh>
    <phoneticPr fontId="5"/>
  </si>
  <si>
    <t>大工工事業</t>
    <rPh sb="4" eb="5">
      <t>ギョウ</t>
    </rPh>
    <phoneticPr fontId="5"/>
  </si>
  <si>
    <t>左官工事業</t>
    <rPh sb="4" eb="5">
      <t>ギョウ</t>
    </rPh>
    <phoneticPr fontId="5"/>
  </si>
  <si>
    <t>とび・土木・ｺﾝｸﾘｰﾄ工事業</t>
    <rPh sb="3" eb="5">
      <t>ドボク</t>
    </rPh>
    <rPh sb="14" eb="15">
      <t>ギョウ</t>
    </rPh>
    <phoneticPr fontId="5"/>
  </si>
  <si>
    <t>　法面処理工事業</t>
    <rPh sb="5" eb="7">
      <t>コウジ</t>
    </rPh>
    <rPh sb="7" eb="8">
      <t>ギョウ</t>
    </rPh>
    <phoneticPr fontId="5"/>
  </si>
  <si>
    <t>石工事業</t>
    <rPh sb="3" eb="4">
      <t>ギョウ</t>
    </rPh>
    <phoneticPr fontId="5"/>
  </si>
  <si>
    <t>屋根工事業</t>
    <rPh sb="4" eb="5">
      <t>ギョウ</t>
    </rPh>
    <phoneticPr fontId="5"/>
  </si>
  <si>
    <t>電気工事業</t>
    <rPh sb="4" eb="5">
      <t>ギョウ</t>
    </rPh>
    <phoneticPr fontId="5"/>
  </si>
  <si>
    <t>管工事業</t>
    <rPh sb="3" eb="4">
      <t>ギョウ</t>
    </rPh>
    <phoneticPr fontId="5"/>
  </si>
  <si>
    <t>ﾀｲﾙ・ﾚﾝｶﾞ・ﾌﾞﾛｯｸ工事業</t>
    <rPh sb="16" eb="17">
      <t>ギョウ</t>
    </rPh>
    <phoneticPr fontId="5"/>
  </si>
  <si>
    <t>鋼構造物工事業</t>
    <rPh sb="6" eb="7">
      <t>ギョウ</t>
    </rPh>
    <phoneticPr fontId="5"/>
  </si>
  <si>
    <t>　鋼橋上部工事業</t>
    <rPh sb="5" eb="7">
      <t>コウジ</t>
    </rPh>
    <rPh sb="7" eb="8">
      <t>ギョウ</t>
    </rPh>
    <phoneticPr fontId="5"/>
  </si>
  <si>
    <t>鉄筋工事業</t>
    <rPh sb="4" eb="5">
      <t>ギョウ</t>
    </rPh>
    <phoneticPr fontId="5"/>
  </si>
  <si>
    <t>ほ装工事業</t>
    <rPh sb="4" eb="5">
      <t>ギョウ</t>
    </rPh>
    <phoneticPr fontId="5"/>
  </si>
  <si>
    <t>舗装施行管理技術者</t>
    <phoneticPr fontId="5"/>
  </si>
  <si>
    <t>しゅんせつ工事業</t>
    <rPh sb="7" eb="8">
      <t>ギョウ</t>
    </rPh>
    <phoneticPr fontId="5"/>
  </si>
  <si>
    <t>板金工事業</t>
    <rPh sb="0" eb="2">
      <t>バンキン</t>
    </rPh>
    <phoneticPr fontId="5"/>
  </si>
  <si>
    <t>解体工事業</t>
    <rPh sb="0" eb="2">
      <t>カイタイ</t>
    </rPh>
    <phoneticPr fontId="35"/>
  </si>
  <si>
    <t>全角カタカナで入力してください。法人の種別にフリガナは必要ありません。</t>
    <rPh sb="16" eb="18">
      <t>ホウジン</t>
    </rPh>
    <rPh sb="19" eb="21">
      <t>シュベツ</t>
    </rPh>
    <rPh sb="27" eb="29">
      <t>ヒツヨウ</t>
    </rPh>
    <phoneticPr fontId="5"/>
  </si>
  <si>
    <t>＊</t>
    <phoneticPr fontId="5"/>
  </si>
  <si>
    <t>６業種（土木一式、建築一式、電気、管、ほ装、水道施設）については、経営事項審査における平均完成工事高が500万円未満の場合には、その業種の登録を希望することができませんので、ご注意ください。</t>
    <phoneticPr fontId="5"/>
  </si>
  <si>
    <t>８業種（とび、鋼構造物、塗装、機械器具、電気通信、造園、建具、解体）については、経営事項審査における平均完成工事高が0の場合には、その業種の登録を希望することができませんので、ご注意ください。</t>
    <phoneticPr fontId="5"/>
  </si>
  <si>
    <t>*3</t>
    <phoneticPr fontId="5"/>
  </si>
  <si>
    <t>都道府県から入力してください。</t>
    <rPh sb="0" eb="4">
      <t>トドウフケン</t>
    </rPh>
    <rPh sb="6" eb="8">
      <t>ニュウリョク</t>
    </rPh>
    <phoneticPr fontId="5"/>
  </si>
  <si>
    <t>年</t>
    <rPh sb="0" eb="1">
      <t>ネン</t>
    </rPh>
    <phoneticPr fontId="5"/>
  </si>
  <si>
    <t>県内業者のみ入力してください。</t>
    <rPh sb="0" eb="2">
      <t>ケンナイ</t>
    </rPh>
    <rPh sb="2" eb="4">
      <t>ギョウシャ</t>
    </rPh>
    <rPh sb="6" eb="8">
      <t>ニュウリョク</t>
    </rPh>
    <phoneticPr fontId="5"/>
  </si>
  <si>
    <t>貸借対照表（変更届書様式15号、個人は様式１８号）の有形固定資産欄の機械・運搬具の額（減価償却累計額控除後）を入力してください。</t>
    <rPh sb="0" eb="2">
      <t>タイシャク</t>
    </rPh>
    <rPh sb="2" eb="5">
      <t>タイショウヒョウ</t>
    </rPh>
    <rPh sb="6" eb="8">
      <t>ヘンコウ</t>
    </rPh>
    <rPh sb="8" eb="9">
      <t>トドケ</t>
    </rPh>
    <rPh sb="9" eb="10">
      <t>ショ</t>
    </rPh>
    <rPh sb="10" eb="12">
      <t>ヨウシキ</t>
    </rPh>
    <rPh sb="14" eb="15">
      <t>ゴウ</t>
    </rPh>
    <rPh sb="16" eb="18">
      <t>コジン</t>
    </rPh>
    <rPh sb="19" eb="21">
      <t>ヨウシキ</t>
    </rPh>
    <rPh sb="23" eb="24">
      <t>ゴウ</t>
    </rPh>
    <rPh sb="26" eb="28">
      <t>ユウケイ</t>
    </rPh>
    <rPh sb="28" eb="30">
      <t>コテイ</t>
    </rPh>
    <rPh sb="30" eb="32">
      <t>シサン</t>
    </rPh>
    <rPh sb="32" eb="33">
      <t>ラン</t>
    </rPh>
    <rPh sb="34" eb="36">
      <t>キカイ</t>
    </rPh>
    <rPh sb="37" eb="39">
      <t>ウンパン</t>
    </rPh>
    <rPh sb="39" eb="40">
      <t>グ</t>
    </rPh>
    <rPh sb="41" eb="42">
      <t>ガク</t>
    </rPh>
    <rPh sb="43" eb="45">
      <t>ゲンカ</t>
    </rPh>
    <rPh sb="45" eb="47">
      <t>ショウキャク</t>
    </rPh>
    <rPh sb="47" eb="50">
      <t>ルイケイガク</t>
    </rPh>
    <rPh sb="50" eb="52">
      <t>コウジョ</t>
    </rPh>
    <rPh sb="52" eb="53">
      <t>ゴ</t>
    </rPh>
    <rPh sb="55" eb="57">
      <t>ニュウリョク</t>
    </rPh>
    <phoneticPr fontId="5"/>
  </si>
  <si>
    <t>支店・営業所名称のみ、全角カタカナで入力してください。</t>
    <rPh sb="11" eb="13">
      <t>ゼンカク</t>
    </rPh>
    <rPh sb="18" eb="20">
      <t>ニュウリョク</t>
    </rPh>
    <phoneticPr fontId="5"/>
  </si>
  <si>
    <t>支店・営業所名称のみ入力してください。</t>
    <rPh sb="0" eb="2">
      <t>シテン</t>
    </rPh>
    <rPh sb="3" eb="6">
      <t>エイギョウショ</t>
    </rPh>
    <rPh sb="6" eb="8">
      <t>メイショウ</t>
    </rPh>
    <rPh sb="10" eb="12">
      <t>ニュウリョク</t>
    </rPh>
    <phoneticPr fontId="5"/>
  </si>
  <si>
    <t>正式名称で入力してください。</t>
    <rPh sb="5" eb="7">
      <t>ニュウリョク</t>
    </rPh>
    <phoneticPr fontId="5"/>
  </si>
  <si>
    <t>部署がない業者は、法人の場合は「本社」又は「本店」と入力し、
個人の場合は「本店」と入力してください。</t>
    <rPh sb="0" eb="2">
      <t>ブショ</t>
    </rPh>
    <rPh sb="5" eb="7">
      <t>ギョウシャ</t>
    </rPh>
    <rPh sb="9" eb="11">
      <t>ホウジン</t>
    </rPh>
    <rPh sb="12" eb="14">
      <t>バアイ</t>
    </rPh>
    <rPh sb="16" eb="18">
      <t>ホンシャ</t>
    </rPh>
    <rPh sb="19" eb="20">
      <t>マタ</t>
    </rPh>
    <rPh sb="22" eb="24">
      <t>ホンテン</t>
    </rPh>
    <rPh sb="26" eb="28">
      <t>ニュウリョク</t>
    </rPh>
    <rPh sb="31" eb="33">
      <t>コジン</t>
    </rPh>
    <rPh sb="34" eb="36">
      <t>バアイ</t>
    </rPh>
    <rPh sb="38" eb="40">
      <t>ホンテン</t>
    </rPh>
    <phoneticPr fontId="5"/>
  </si>
  <si>
    <t>保有していない場合は、入力する必要はありません。</t>
    <rPh sb="0" eb="2">
      <t>ホユウ</t>
    </rPh>
    <rPh sb="7" eb="9">
      <t>バアイ</t>
    </rPh>
    <rPh sb="15" eb="17">
      <t>ヒツヨウ</t>
    </rPh>
    <phoneticPr fontId="5"/>
  </si>
  <si>
    <t>*4</t>
    <phoneticPr fontId="5"/>
  </si>
  <si>
    <t>代表者役職</t>
    <phoneticPr fontId="6"/>
  </si>
  <si>
    <t>経審審査基準日</t>
    <rPh sb="0" eb="1">
      <t>キョウ</t>
    </rPh>
    <rPh sb="1" eb="2">
      <t>シン</t>
    </rPh>
    <rPh sb="2" eb="4">
      <t>シンサ</t>
    </rPh>
    <rPh sb="4" eb="6">
      <t>キジュン</t>
    </rPh>
    <rPh sb="6" eb="7">
      <t>ビ</t>
    </rPh>
    <phoneticPr fontId="6"/>
  </si>
  <si>
    <t>経審結果通知書</t>
    <rPh sb="0" eb="1">
      <t>キョウ</t>
    </rPh>
    <rPh sb="1" eb="2">
      <t>シン</t>
    </rPh>
    <rPh sb="2" eb="4">
      <t>ケッカ</t>
    </rPh>
    <rPh sb="4" eb="7">
      <t>ツウチショ</t>
    </rPh>
    <phoneticPr fontId="6"/>
  </si>
  <si>
    <t>この申請書内容の全てを説明できる方を入力してください。</t>
    <rPh sb="18" eb="20">
      <t>ニュウリョク</t>
    </rPh>
    <phoneticPr fontId="5"/>
  </si>
  <si>
    <t>ほ装工事を申請する場合、【技術者情報】の舗装施工監理技術者を級別に入力してください。</t>
    <rPh sb="1" eb="2">
      <t>ソウ</t>
    </rPh>
    <rPh sb="2" eb="4">
      <t>コウジ</t>
    </rPh>
    <rPh sb="5" eb="7">
      <t>シンセイ</t>
    </rPh>
    <rPh sb="9" eb="11">
      <t>バアイ</t>
    </rPh>
    <rPh sb="30" eb="32">
      <t>キュウベツ</t>
    </rPh>
    <rPh sb="33" eb="35">
      <t>ニュウリョク</t>
    </rPh>
    <phoneticPr fontId="5"/>
  </si>
  <si>
    <t>年</t>
    <rPh sb="0" eb="1">
      <t>ネン</t>
    </rPh>
    <phoneticPr fontId="5"/>
  </si>
  <si>
    <t>担当者氏名カナ</t>
    <rPh sb="0" eb="3">
      <t>タントウシャ</t>
    </rPh>
    <rPh sb="3" eb="5">
      <t>シメイ</t>
    </rPh>
    <phoneticPr fontId="6"/>
  </si>
  <si>
    <t>担当者氏名</t>
    <rPh sb="0" eb="3">
      <t>タントウシャ</t>
    </rPh>
    <rPh sb="3" eb="5">
      <t>シメイ</t>
    </rPh>
    <phoneticPr fontId="6"/>
  </si>
  <si>
    <t>経審結果通知書</t>
    <rPh sb="0" eb="1">
      <t>キョウ</t>
    </rPh>
    <rPh sb="1" eb="2">
      <t>シン</t>
    </rPh>
    <rPh sb="2" eb="4">
      <t>ケッカ</t>
    </rPh>
    <rPh sb="4" eb="6">
      <t>ツウチ</t>
    </rPh>
    <rPh sb="6" eb="7">
      <t>ショ</t>
    </rPh>
    <phoneticPr fontId="24"/>
  </si>
  <si>
    <t>受任者役職</t>
    <rPh sb="0" eb="2">
      <t>ジュニン</t>
    </rPh>
    <rPh sb="2" eb="3">
      <t>シャ</t>
    </rPh>
    <phoneticPr fontId="6"/>
  </si>
  <si>
    <t>受任者氏名カナ</t>
    <rPh sb="0" eb="2">
      <t>ジュニン</t>
    </rPh>
    <rPh sb="2" eb="3">
      <t>シャ</t>
    </rPh>
    <rPh sb="3" eb="5">
      <t>シメイ</t>
    </rPh>
    <phoneticPr fontId="6"/>
  </si>
  <si>
    <t>受任者氏名</t>
    <rPh sb="0" eb="2">
      <t>ジュニン</t>
    </rPh>
    <rPh sb="2" eb="3">
      <t>シャ</t>
    </rPh>
    <rPh sb="3" eb="5">
      <t>シメイ</t>
    </rPh>
    <phoneticPr fontId="6"/>
  </si>
  <si>
    <t>受任者職氏名</t>
    <rPh sb="0" eb="2">
      <t>ジュニン</t>
    </rPh>
    <rPh sb="2" eb="3">
      <t>シャ</t>
    </rPh>
    <rPh sb="3" eb="4">
      <t>ショク</t>
    </rPh>
    <rPh sb="4" eb="5">
      <t>ウジ</t>
    </rPh>
    <rPh sb="5" eb="6">
      <t>ナ</t>
    </rPh>
    <phoneticPr fontId="24"/>
  </si>
  <si>
    <t>ISO9001</t>
    <phoneticPr fontId="5"/>
  </si>
  <si>
    <t>ISO14001</t>
    <phoneticPr fontId="5"/>
  </si>
  <si>
    <t>平成30年12月1日現在、香川県内の本店・営業所において建設業に従事する有資格者数を入力してください。</t>
    <rPh sb="0" eb="2">
      <t>ヘイセイ</t>
    </rPh>
    <rPh sb="4" eb="5">
      <t>ネン</t>
    </rPh>
    <rPh sb="7" eb="8">
      <t>ガツ</t>
    </rPh>
    <rPh sb="42" eb="44">
      <t>ニュウリョク</t>
    </rPh>
    <phoneticPr fontId="5"/>
  </si>
  <si>
    <t>年月日を入力してください。【例】2000/4/1</t>
    <rPh sb="0" eb="3">
      <t>ネンガッピ</t>
    </rPh>
    <rPh sb="4" eb="6">
      <t>ニュウリョク</t>
    </rPh>
    <rPh sb="14" eb="15">
      <t>レイ</t>
    </rPh>
    <phoneticPr fontId="5"/>
  </si>
  <si>
    <t>7桁の数字で入力してください。「-（ハイフン）」は不要です。 【例】1000001</t>
    <rPh sb="32" eb="33">
      <t>レイ</t>
    </rPh>
    <phoneticPr fontId="5"/>
  </si>
  <si>
    <t>平成30年12月31日現在までの営業年数を入力してください。 【例】10
創業から申請日まで（組織変更、合併等による期間の通算可）。
１年に満たない場合は0を入力してください。</t>
    <rPh sb="0" eb="2">
      <t>ヘイセイ</t>
    </rPh>
    <rPh sb="4" eb="5">
      <t>ネン</t>
    </rPh>
    <rPh sb="7" eb="8">
      <t>ガツ</t>
    </rPh>
    <rPh sb="10" eb="11">
      <t>ニチ</t>
    </rPh>
    <rPh sb="11" eb="13">
      <t>ゲンザイ</t>
    </rPh>
    <rPh sb="16" eb="18">
      <t>エイギョウ</t>
    </rPh>
    <rPh sb="18" eb="20">
      <t>ネンスウ</t>
    </rPh>
    <rPh sb="21" eb="23">
      <t>ニュウリョク</t>
    </rPh>
    <rPh sb="32" eb="33">
      <t>レイ</t>
    </rPh>
    <rPh sb="79" eb="81">
      <t>ニュウリョク</t>
    </rPh>
    <phoneticPr fontId="5"/>
  </si>
  <si>
    <t>半角の数字と記号で入力してください。【例】00-000100</t>
    <rPh sb="19" eb="20">
      <t>レイ</t>
    </rPh>
    <phoneticPr fontId="5"/>
  </si>
  <si>
    <t>年月日を入力してください。【例】2000/4/1
業種追加、般・特両方保有の場合により、許可年月日が異なる場合は最も古いものを入力してください。</t>
    <phoneticPr fontId="5"/>
  </si>
  <si>
    <t>年月日を入力してください。【例】2000/4/1</t>
    <phoneticPr fontId="5"/>
  </si>
  <si>
    <t>年月日を入力してください。【例】2000/4/1
審査基準日が平成29年10月1日～平成30年9月30日（県内）　平成29年9月1日～平成30年8月31日（県外）までのものを入力してください。</t>
    <rPh sb="25" eb="27">
      <t>シンサ</t>
    </rPh>
    <rPh sb="27" eb="29">
      <t>キジュン</t>
    </rPh>
    <rPh sb="29" eb="30">
      <t>ビ</t>
    </rPh>
    <rPh sb="31" eb="33">
      <t>ヘイセイ</t>
    </rPh>
    <rPh sb="35" eb="36">
      <t>ネン</t>
    </rPh>
    <rPh sb="38" eb="39">
      <t>ガツ</t>
    </rPh>
    <rPh sb="40" eb="41">
      <t>ニチ</t>
    </rPh>
    <rPh sb="42" eb="44">
      <t>ヘイセイ</t>
    </rPh>
    <rPh sb="46" eb="47">
      <t>ネン</t>
    </rPh>
    <rPh sb="48" eb="49">
      <t>ツキ</t>
    </rPh>
    <rPh sb="51" eb="52">
      <t>ニチ</t>
    </rPh>
    <rPh sb="53" eb="55">
      <t>ケンナイ</t>
    </rPh>
    <rPh sb="57" eb="59">
      <t>ヘイセイ</t>
    </rPh>
    <rPh sb="61" eb="62">
      <t>ネン</t>
    </rPh>
    <rPh sb="63" eb="64">
      <t>ガツ</t>
    </rPh>
    <rPh sb="65" eb="66">
      <t>ニチ</t>
    </rPh>
    <rPh sb="67" eb="69">
      <t>ヘイセイ</t>
    </rPh>
    <rPh sb="71" eb="72">
      <t>ネン</t>
    </rPh>
    <rPh sb="73" eb="74">
      <t>ガツ</t>
    </rPh>
    <rPh sb="76" eb="77">
      <t>ニチ</t>
    </rPh>
    <rPh sb="78" eb="80">
      <t>ケンガイ</t>
    </rPh>
    <rPh sb="87" eb="89">
      <t>ニュウリョク</t>
    </rPh>
    <phoneticPr fontId="5"/>
  </si>
  <si>
    <t>申請</t>
    <rPh sb="0" eb="2">
      <t>シンセイ</t>
    </rPh>
    <phoneticPr fontId="5"/>
  </si>
  <si>
    <r>
      <t xml:space="preserve">その他
</t>
    </r>
    <r>
      <rPr>
        <sz val="10"/>
        <color rgb="FFFF0000"/>
        <rFont val="ＭＳ Ｐゴシック"/>
        <family val="3"/>
        <charset val="128"/>
        <scheme val="minor"/>
      </rPr>
      <t>*1</t>
    </r>
    <rPh sb="2" eb="3">
      <t>タ</t>
    </rPh>
    <phoneticPr fontId="5"/>
  </si>
  <si>
    <r>
      <t xml:space="preserve">二級
</t>
    </r>
    <r>
      <rPr>
        <sz val="10"/>
        <color rgb="FFFF0000"/>
        <rFont val="ＭＳ Ｐゴシック"/>
        <family val="3"/>
        <charset val="128"/>
        <scheme val="minor"/>
      </rPr>
      <t>*1</t>
    </r>
    <rPh sb="0" eb="2">
      <t>ニキュウ</t>
    </rPh>
    <phoneticPr fontId="5"/>
  </si>
  <si>
    <r>
      <t xml:space="preserve">一級
</t>
    </r>
    <r>
      <rPr>
        <sz val="10"/>
        <color rgb="FFFF0000"/>
        <rFont val="ＭＳ Ｐゴシック"/>
        <family val="3"/>
        <charset val="128"/>
        <scheme val="minor"/>
      </rPr>
      <t>*1</t>
    </r>
    <phoneticPr fontId="5"/>
  </si>
  <si>
    <r>
      <t xml:space="preserve">土木一式工事業 </t>
    </r>
    <r>
      <rPr>
        <sz val="11"/>
        <color rgb="FFFF0000"/>
        <rFont val="ＭＳ Ｐゴシック"/>
        <family val="3"/>
        <charset val="128"/>
      </rPr>
      <t>*2</t>
    </r>
    <phoneticPr fontId="5"/>
  </si>
  <si>
    <r>
      <t xml:space="preserve">建築一式工事業 </t>
    </r>
    <r>
      <rPr>
        <sz val="11"/>
        <color rgb="FFFF0000"/>
        <rFont val="ＭＳ Ｐゴシック"/>
        <family val="3"/>
        <charset val="128"/>
      </rPr>
      <t>*2</t>
    </r>
    <phoneticPr fontId="5"/>
  </si>
  <si>
    <r>
      <t xml:space="preserve">とび・土木・ｺﾝｸﾘｰﾄ工事業 </t>
    </r>
    <r>
      <rPr>
        <sz val="11"/>
        <color rgb="FFFF0000"/>
        <rFont val="ＭＳ Ｐゴシック"/>
        <family val="3"/>
        <charset val="128"/>
      </rPr>
      <t>*3</t>
    </r>
    <phoneticPr fontId="5"/>
  </si>
  <si>
    <r>
      <t xml:space="preserve">電気工事業 </t>
    </r>
    <r>
      <rPr>
        <sz val="11"/>
        <color rgb="FFFF0000"/>
        <rFont val="ＭＳ Ｐゴシック"/>
        <family val="3"/>
        <charset val="128"/>
      </rPr>
      <t>*2</t>
    </r>
    <phoneticPr fontId="5"/>
  </si>
  <si>
    <r>
      <t xml:space="preserve">管工事業 </t>
    </r>
    <r>
      <rPr>
        <sz val="11"/>
        <color rgb="FFFF0000"/>
        <rFont val="ＭＳ Ｐゴシック"/>
        <family val="3"/>
        <charset val="128"/>
      </rPr>
      <t>*2</t>
    </r>
    <phoneticPr fontId="5"/>
  </si>
  <si>
    <r>
      <t xml:space="preserve">鋼構造物工事業 </t>
    </r>
    <r>
      <rPr>
        <sz val="11"/>
        <color rgb="FFFF0000"/>
        <rFont val="ＭＳ Ｐゴシック"/>
        <family val="3"/>
        <charset val="128"/>
      </rPr>
      <t>*3</t>
    </r>
    <rPh sb="0" eb="1">
      <t>ハガネ</t>
    </rPh>
    <phoneticPr fontId="5"/>
  </si>
  <si>
    <r>
      <t xml:space="preserve">ほ装工事業 </t>
    </r>
    <r>
      <rPr>
        <sz val="11"/>
        <color rgb="FFFF0000"/>
        <rFont val="ＭＳ Ｐゴシック"/>
        <family val="3"/>
        <charset val="128"/>
      </rPr>
      <t>*2</t>
    </r>
    <r>
      <rPr>
        <sz val="11"/>
        <color theme="1"/>
        <rFont val="ＭＳ Ｐゴシック"/>
        <family val="3"/>
        <charset val="128"/>
      </rPr>
      <t xml:space="preserve"> </t>
    </r>
    <r>
      <rPr>
        <sz val="11"/>
        <color rgb="FFFF0000"/>
        <rFont val="ＭＳ Ｐゴシック"/>
        <family val="3"/>
        <charset val="128"/>
      </rPr>
      <t>*4</t>
    </r>
    <phoneticPr fontId="5"/>
  </si>
  <si>
    <r>
      <t xml:space="preserve">塗装工事業 </t>
    </r>
    <r>
      <rPr>
        <sz val="11"/>
        <color rgb="FFFF0000"/>
        <rFont val="ＭＳ Ｐゴシック"/>
        <family val="3"/>
        <charset val="128"/>
      </rPr>
      <t>*3</t>
    </r>
    <phoneticPr fontId="5"/>
  </si>
  <si>
    <r>
      <t xml:space="preserve">機械器具設置工事業 </t>
    </r>
    <r>
      <rPr>
        <sz val="11"/>
        <color rgb="FFFF0000"/>
        <rFont val="ＭＳ Ｐゴシック"/>
        <family val="3"/>
        <charset val="128"/>
      </rPr>
      <t>*3</t>
    </r>
    <phoneticPr fontId="5"/>
  </si>
  <si>
    <r>
      <t xml:space="preserve">電気通信工事業 </t>
    </r>
    <r>
      <rPr>
        <sz val="11"/>
        <color rgb="FFFF0000"/>
        <rFont val="ＭＳ Ｐゴシック"/>
        <family val="3"/>
        <charset val="128"/>
      </rPr>
      <t>*3</t>
    </r>
    <phoneticPr fontId="5"/>
  </si>
  <si>
    <r>
      <t xml:space="preserve">造園工事業 </t>
    </r>
    <r>
      <rPr>
        <sz val="11"/>
        <color rgb="FFFF0000"/>
        <rFont val="ＭＳ Ｐゴシック"/>
        <family val="3"/>
        <charset val="128"/>
      </rPr>
      <t>*3</t>
    </r>
    <phoneticPr fontId="5"/>
  </si>
  <si>
    <r>
      <t xml:space="preserve">建具工事業 </t>
    </r>
    <r>
      <rPr>
        <sz val="11"/>
        <color rgb="FFFF0000"/>
        <rFont val="ＭＳ Ｐゴシック"/>
        <family val="3"/>
        <charset val="128"/>
      </rPr>
      <t>*3</t>
    </r>
    <phoneticPr fontId="5"/>
  </si>
  <si>
    <r>
      <t xml:space="preserve">水道施設工事業 </t>
    </r>
    <r>
      <rPr>
        <sz val="11"/>
        <color rgb="FFFF0000"/>
        <rFont val="ＭＳ Ｐゴシック"/>
        <family val="3"/>
        <charset val="128"/>
      </rPr>
      <t>*2</t>
    </r>
    <phoneticPr fontId="5"/>
  </si>
  <si>
    <r>
      <t xml:space="preserve">解体工事業 </t>
    </r>
    <r>
      <rPr>
        <sz val="11"/>
        <color rgb="FFFF0000"/>
        <rFont val="ＭＳ Ｐゴシック"/>
        <family val="3"/>
        <charset val="128"/>
      </rPr>
      <t>*3</t>
    </r>
    <phoneticPr fontId="5"/>
  </si>
  <si>
    <t>一級＝１級土木管理技士、１級建築士等
二級＝２級土木施工管理技士、２級建築士、第1種電気工事士、１級技能士等
県内在住技術者数は香川県内の本店・営業所で建設業に従事する技術者の人数を入力してください。</t>
    <rPh sb="64" eb="66">
      <t>カガワ</t>
    </rPh>
    <rPh sb="91" eb="93">
      <t>ニュウリョク</t>
    </rPh>
    <phoneticPr fontId="5"/>
  </si>
  <si>
    <t>*2</t>
    <phoneticPr fontId="5"/>
  </si>
  <si>
    <t>取得の有無はリストから選択してください。
有効期間満了日は年月日を入力してください。【例】2000/4/1</t>
    <rPh sb="0" eb="2">
      <t>シュトク</t>
    </rPh>
    <rPh sb="3" eb="5">
      <t>ウム</t>
    </rPh>
    <rPh sb="11" eb="13">
      <t>センタク</t>
    </rPh>
    <rPh sb="21" eb="23">
      <t>ユウコウ</t>
    </rPh>
    <rPh sb="23" eb="25">
      <t>キカン</t>
    </rPh>
    <rPh sb="25" eb="27">
      <t>マンリョウ</t>
    </rPh>
    <rPh sb="27" eb="28">
      <t>ビ</t>
    </rPh>
    <rPh sb="29" eb="32">
      <t>ネンガッピ</t>
    </rPh>
    <rPh sb="33" eb="35">
      <t>ニュウリョク</t>
    </rPh>
    <rPh sb="43" eb="44">
      <t>レイ</t>
    </rPh>
    <phoneticPr fontId="5"/>
  </si>
  <si>
    <t>有効期間満了日</t>
    <phoneticPr fontId="5"/>
  </si>
  <si>
    <r>
      <t xml:space="preserve">舗装施工管理技術者 </t>
    </r>
    <r>
      <rPr>
        <sz val="11"/>
        <color rgb="FFFF0000"/>
        <rFont val="ＭＳ ゴシック"/>
        <family val="3"/>
        <charset val="128"/>
      </rPr>
      <t>*1</t>
    </r>
    <rPh sb="2" eb="4">
      <t>セコウ</t>
    </rPh>
    <phoneticPr fontId="5"/>
  </si>
  <si>
    <t>許可
区分</t>
    <rPh sb="0" eb="2">
      <t>キョカ</t>
    </rPh>
    <rPh sb="3" eb="5">
      <t>クブン</t>
    </rPh>
    <phoneticPr fontId="5"/>
  </si>
  <si>
    <t>工事を希望する場合、申請、許可区分、総合評点、全体技術者数、県内技術者数、平均完成工事高欄を入力してください。
申請業種は審査基準日現在で、許可を受けているものに限ります。</t>
    <rPh sb="0" eb="2">
      <t>コウジ</t>
    </rPh>
    <rPh sb="3" eb="5">
      <t>キボウ</t>
    </rPh>
    <rPh sb="7" eb="9">
      <t>バアイ</t>
    </rPh>
    <rPh sb="10" eb="12">
      <t>シンセイ</t>
    </rPh>
    <rPh sb="13" eb="15">
      <t>キョカ</t>
    </rPh>
    <rPh sb="15" eb="17">
      <t>クブン</t>
    </rPh>
    <rPh sb="18" eb="20">
      <t>ソウゴウ</t>
    </rPh>
    <rPh sb="20" eb="22">
      <t>ヒョウテン</t>
    </rPh>
    <rPh sb="23" eb="25">
      <t>ゼンタイ</t>
    </rPh>
    <rPh sb="25" eb="28">
      <t>ギジュツシャ</t>
    </rPh>
    <rPh sb="28" eb="29">
      <t>スウ</t>
    </rPh>
    <rPh sb="30" eb="32">
      <t>ケンナイ</t>
    </rPh>
    <rPh sb="32" eb="35">
      <t>ギジュツシャ</t>
    </rPh>
    <rPh sb="35" eb="36">
      <t>スウ</t>
    </rPh>
    <rPh sb="37" eb="39">
      <t>ヘイキン</t>
    </rPh>
    <rPh sb="39" eb="41">
      <t>カンセイ</t>
    </rPh>
    <rPh sb="41" eb="43">
      <t>コウジ</t>
    </rPh>
    <rPh sb="43" eb="44">
      <t>ダカ</t>
    </rPh>
    <rPh sb="44" eb="45">
      <t>ラン</t>
    </rPh>
    <rPh sb="46" eb="48">
      <t>ニュウリョク</t>
    </rPh>
    <phoneticPr fontId="5"/>
  </si>
  <si>
    <t>県内技術者数(人)</t>
    <rPh sb="0" eb="2">
      <t>ケンナイ</t>
    </rPh>
    <rPh sb="7" eb="8">
      <t>ニン</t>
    </rPh>
    <phoneticPr fontId="5"/>
  </si>
  <si>
    <t>全体技術者数(人)</t>
    <rPh sb="0" eb="2">
      <t>ゼンタイ</t>
    </rPh>
    <rPh sb="7" eb="8">
      <t>ニン</t>
    </rPh>
    <phoneticPr fontId="5"/>
  </si>
  <si>
    <t>申請、許可区分はリストから選択してください。
工事を希望する業種に技術者がいない場合も、必ず「0」を入力してください。</t>
    <rPh sb="0" eb="2">
      <t>シンセイ</t>
    </rPh>
    <rPh sb="3" eb="5">
      <t>キョカ</t>
    </rPh>
    <rPh sb="5" eb="7">
      <t>クブン</t>
    </rPh>
    <rPh sb="13" eb="15">
      <t>センタク</t>
    </rPh>
    <rPh sb="23" eb="25">
      <t>コウジ</t>
    </rPh>
    <rPh sb="26" eb="28">
      <t>キボウ</t>
    </rPh>
    <rPh sb="50" eb="52">
      <t>ニュウリョク</t>
    </rPh>
    <phoneticPr fontId="5"/>
  </si>
  <si>
    <t>法人の種別は次の略号で入力してください。（個人は略号の入力はなし）
（株）：株式会社　　（有）：有限会社　（資）：合資会社　　（名）：合名会社
（同）：協同組合　　（業）：協業組合　（企）：企業組合　　（財）：財団法人</t>
    <rPh sb="3" eb="5">
      <t>シュベツ</t>
    </rPh>
    <rPh sb="11" eb="13">
      <t>ニュウリョク</t>
    </rPh>
    <rPh sb="27" eb="29">
      <t>ニュウリョク</t>
    </rPh>
    <phoneticPr fontId="5"/>
  </si>
  <si>
    <t>正式名称で入力してください。個人の場合は「代表者」と入力してください。</t>
    <rPh sb="5" eb="7">
      <t>ニュウリョク</t>
    </rPh>
    <rPh sb="26" eb="28">
      <t>ニュウリョク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</si>
</sst>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_);[Red]\(0\)"/>
  </numFmts>
  <fonts count="4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10"/>
      <color theme="1"/>
      <name val="ＭＳ Ｐゴシック"/>
      <family val="1"/>
      <charset val="128"/>
      <scheme val="minor"/>
    </font>
    <font>
      <sz val="10"/>
      <color theme="1"/>
      <name val="ＭＳ Ｐゴシック"/>
      <family val="2"/>
      <charset val="128"/>
      <scheme val="minor"/>
    </font>
    <font>
      <sz val="9"/>
      <color indexed="8"/>
      <name val="ＭＳ ゴシック"/>
      <family val="3"/>
      <charset val="128"/>
    </font>
    <font>
      <sz val="11"/>
      <color indexed="8"/>
      <name val="ＭＳ Ｐゴシック"/>
      <family val="3"/>
      <charset val="128"/>
    </font>
    <font>
      <sz val="9"/>
      <name val="ＭＳ Ｐゴシック"/>
      <family val="3"/>
      <charset val="128"/>
    </font>
    <font>
      <sz val="10"/>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1"/>
      <color rgb="FF9C0006"/>
      <name val="ＭＳ Ｐゴシック"/>
      <family val="2"/>
      <charset val="128"/>
      <scheme val="minor"/>
    </font>
    <font>
      <sz val="11"/>
      <color rgb="FFFF0000"/>
      <name val="ＭＳ Ｐゴシック"/>
      <family val="3"/>
      <charset val="128"/>
      <scheme val="minor"/>
    </font>
    <font>
      <sz val="10"/>
      <color rgb="FFFF0000"/>
      <name val="ＭＳ Ｐゴシック"/>
      <family val="3"/>
      <charset val="128"/>
      <scheme val="minor"/>
    </font>
    <font>
      <b/>
      <sz val="11"/>
      <color theme="1"/>
      <name val="ＭＳ ゴシック"/>
      <family val="3"/>
      <charset val="128"/>
    </font>
    <font>
      <u/>
      <sz val="11"/>
      <color rgb="FF0070C0"/>
      <name val="ＭＳ ゴシック"/>
      <family val="3"/>
      <charset val="128"/>
    </font>
    <font>
      <sz val="11"/>
      <color theme="1"/>
      <name val="ＭＳ Ｐゴシック"/>
      <family val="1"/>
      <charset val="128"/>
      <scheme val="minor"/>
    </font>
    <font>
      <sz val="11"/>
      <color rgb="FF9C570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8"/>
      <color theme="1"/>
      <name val="ＭＳ Ｐ明朝"/>
      <family val="1"/>
      <charset val="128"/>
    </font>
    <font>
      <sz val="9"/>
      <color theme="1"/>
      <name val="ＭＳ 明朝"/>
      <family val="1"/>
      <charset val="128"/>
    </font>
    <font>
      <b/>
      <sz val="12"/>
      <color theme="1"/>
      <name val="ＭＳ 明朝"/>
      <family val="1"/>
      <charset val="128"/>
    </font>
    <font>
      <b/>
      <sz val="11"/>
      <color theme="1"/>
      <name val="ＭＳ 明朝"/>
      <family val="1"/>
      <charset val="128"/>
    </font>
    <font>
      <sz val="6"/>
      <name val="ＭＳ 明朝"/>
      <family val="1"/>
      <charset val="128"/>
    </font>
    <font>
      <sz val="9"/>
      <name val="ＭＳ 明朝"/>
      <family val="1"/>
      <charset val="128"/>
    </font>
    <font>
      <sz val="6"/>
      <color theme="1"/>
      <name val="ＭＳ 明朝"/>
      <family val="1"/>
      <charset val="128"/>
    </font>
    <font>
      <sz val="6"/>
      <name val="ＭＳ Ｐゴシック"/>
      <family val="3"/>
      <charset val="128"/>
    </font>
    <font>
      <sz val="8"/>
      <name val="ＭＳ 明朝"/>
      <family val="1"/>
      <charset val="128"/>
    </font>
    <font>
      <sz val="11"/>
      <color theme="1"/>
      <name val="ＭＳ Ｐゴシック"/>
      <family val="3"/>
      <charset val="128"/>
    </font>
    <font>
      <sz val="11"/>
      <color rgb="FFFF0000"/>
      <name val="ＭＳ Ｐゴシック"/>
      <family val="3"/>
      <charset val="128"/>
    </font>
    <font>
      <sz val="10"/>
      <color rgb="FFFF0000"/>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CCFFFF"/>
        <bgColor indexed="64"/>
      </patternFill>
    </fill>
    <fill>
      <patternFill patternType="solid">
        <fgColor rgb="FFCCEDFC"/>
        <bgColor indexed="64"/>
      </patternFill>
    </fill>
    <fill>
      <patternFill patternType="solid">
        <fgColor rgb="FFA6A6A6"/>
        <bgColor indexed="64"/>
      </patternFill>
    </fill>
    <fill>
      <patternFill patternType="solid">
        <fgColor rgb="FFCCECFF"/>
        <bgColor indexed="64"/>
      </patternFill>
    </fill>
    <fill>
      <patternFill patternType="solid">
        <fgColor theme="0" tint="-0.34998626667073579"/>
        <bgColor indexed="64"/>
      </patternFill>
    </fill>
  </fills>
  <borders count="42">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auto="1"/>
      </right>
      <top/>
      <bottom style="hair">
        <color auto="1"/>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top style="thin">
        <color auto="1"/>
      </top>
      <bottom style="thin">
        <color auto="1"/>
      </bottom>
      <diagonal/>
    </border>
    <border>
      <left/>
      <right style="hair">
        <color auto="1"/>
      </right>
      <top style="thin">
        <color auto="1"/>
      </top>
      <bottom style="thin">
        <color auto="1"/>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right/>
      <top/>
      <bottom style="hair">
        <color indexed="64"/>
      </bottom>
      <diagonal/>
    </border>
    <border>
      <left style="thin">
        <color indexed="64"/>
      </left>
      <right/>
      <top/>
      <bottom style="hair">
        <color indexed="64"/>
      </bottom>
      <diagonal/>
    </border>
    <border>
      <left style="hair">
        <color auto="1"/>
      </left>
      <right/>
      <top/>
      <bottom style="hair">
        <color auto="1"/>
      </bottom>
      <diagonal/>
    </border>
    <border>
      <left/>
      <right style="thin">
        <color indexed="64"/>
      </right>
      <top/>
      <bottom style="hair">
        <color auto="1"/>
      </bottom>
      <diagonal/>
    </border>
  </borders>
  <cellStyleXfs count="10">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2" fillId="0" borderId="0" applyFont="0" applyFill="0" applyBorder="0" applyAlignment="0" applyProtection="0">
      <alignment vertical="center"/>
    </xf>
    <xf numFmtId="0" fontId="1" fillId="0" borderId="0">
      <alignment vertical="center"/>
    </xf>
    <xf numFmtId="0" fontId="3" fillId="0" borderId="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cellStyleXfs>
  <cellXfs count="412">
    <xf numFmtId="0" fontId="0" fillId="0" borderId="0" xfId="0">
      <alignment vertical="center"/>
    </xf>
    <xf numFmtId="0" fontId="4" fillId="0" borderId="0" xfId="3" applyFont="1" applyFill="1">
      <alignment vertical="center"/>
    </xf>
    <xf numFmtId="0" fontId="7" fillId="0" borderId="0" xfId="3">
      <alignment vertical="center"/>
    </xf>
    <xf numFmtId="0" fontId="7" fillId="0" borderId="0" xfId="3" applyFont="1">
      <alignment vertical="center"/>
    </xf>
    <xf numFmtId="0" fontId="14" fillId="0" borderId="0" xfId="4" applyFont="1">
      <alignment vertical="center"/>
    </xf>
    <xf numFmtId="0" fontId="4" fillId="0" borderId="0" xfId="3" applyNumberFormat="1" applyFont="1" applyFill="1" applyProtection="1">
      <alignment vertical="center"/>
    </xf>
    <xf numFmtId="0" fontId="7" fillId="2" borderId="0" xfId="3" applyFont="1" applyFill="1">
      <alignment vertical="center"/>
    </xf>
    <xf numFmtId="0" fontId="7" fillId="2" borderId="0" xfId="3" applyFill="1">
      <alignment vertical="center"/>
    </xf>
    <xf numFmtId="0" fontId="4" fillId="0" borderId="0" xfId="3" applyFont="1" applyFill="1" applyProtection="1">
      <alignment vertical="center"/>
    </xf>
    <xf numFmtId="0" fontId="4" fillId="0" borderId="0" xfId="2" applyFont="1" applyFill="1" applyProtection="1">
      <alignment vertical="center"/>
    </xf>
    <xf numFmtId="0" fontId="4" fillId="0" borderId="0" xfId="7" applyFont="1" applyFill="1" applyProtection="1">
      <alignment vertical="center"/>
    </xf>
    <xf numFmtId="0" fontId="8" fillId="0" borderId="0" xfId="3" applyNumberFormat="1" applyFont="1" applyFill="1" applyProtection="1">
      <alignment vertical="center"/>
    </xf>
    <xf numFmtId="0" fontId="17" fillId="0" borderId="30" xfId="0" applyFont="1" applyFill="1" applyBorder="1" applyProtection="1">
      <alignment vertical="center"/>
    </xf>
    <xf numFmtId="0" fontId="17" fillId="0" borderId="0" xfId="0" applyFont="1" applyFill="1" applyBorder="1" applyProtection="1">
      <alignment vertical="center"/>
    </xf>
    <xf numFmtId="0" fontId="3" fillId="0" borderId="25" xfId="0" applyFont="1" applyFill="1" applyBorder="1" applyProtection="1">
      <alignment vertical="center"/>
    </xf>
    <xf numFmtId="0" fontId="3" fillId="0" borderId="29" xfId="0" applyFont="1" applyFill="1" applyBorder="1" applyProtection="1">
      <alignment vertical="center"/>
    </xf>
    <xf numFmtId="179" fontId="3" fillId="0" borderId="30" xfId="0" applyNumberFormat="1" applyFont="1" applyFill="1" applyBorder="1" applyProtection="1">
      <alignment vertical="center"/>
    </xf>
    <xf numFmtId="179" fontId="3" fillId="0" borderId="0" xfId="0" applyNumberFormat="1" applyFont="1" applyFill="1" applyBorder="1" applyProtection="1">
      <alignment vertical="center"/>
    </xf>
    <xf numFmtId="0" fontId="3" fillId="0" borderId="32" xfId="0" applyFont="1" applyFill="1" applyBorder="1" applyProtection="1">
      <alignment vertical="center"/>
    </xf>
    <xf numFmtId="0" fontId="3" fillId="0" borderId="30" xfId="0" applyFont="1" applyFill="1" applyBorder="1" applyProtection="1">
      <alignment vertical="center"/>
    </xf>
    <xf numFmtId="0" fontId="4" fillId="0" borderId="27" xfId="3" applyFont="1" applyFill="1" applyBorder="1" applyProtection="1">
      <alignment vertical="center"/>
    </xf>
    <xf numFmtId="0" fontId="4" fillId="0" borderId="21" xfId="3" applyFont="1" applyFill="1" applyBorder="1" applyProtection="1">
      <alignment vertical="center"/>
    </xf>
    <xf numFmtId="0" fontId="4" fillId="0" borderId="23" xfId="3" applyFont="1" applyFill="1" applyBorder="1" applyProtection="1">
      <alignment vertical="center"/>
    </xf>
    <xf numFmtId="0" fontId="19" fillId="0" borderId="32" xfId="0" applyFont="1" applyFill="1" applyBorder="1" applyAlignment="1" applyProtection="1">
      <alignment vertical="top" wrapText="1"/>
    </xf>
    <xf numFmtId="0" fontId="19" fillId="0" borderId="32" xfId="0" applyFont="1" applyFill="1" applyBorder="1" applyAlignment="1" applyProtection="1">
      <alignment vertical="top"/>
    </xf>
    <xf numFmtId="0" fontId="3" fillId="0" borderId="27" xfId="0" applyFont="1" applyFill="1" applyBorder="1" applyProtection="1">
      <alignment vertical="center"/>
    </xf>
    <xf numFmtId="0" fontId="3" fillId="0" borderId="21" xfId="0" applyFont="1" applyFill="1" applyBorder="1" applyProtection="1">
      <alignment vertical="center"/>
    </xf>
    <xf numFmtId="0" fontId="19" fillId="0" borderId="21" xfId="0" applyFont="1" applyFill="1" applyBorder="1" applyAlignment="1" applyProtection="1">
      <alignment vertical="top"/>
    </xf>
    <xf numFmtId="0" fontId="3" fillId="0" borderId="23" xfId="0" applyFont="1" applyFill="1" applyBorder="1" applyProtection="1">
      <alignment vertical="center"/>
    </xf>
    <xf numFmtId="0" fontId="16" fillId="0" borderId="30" xfId="0" applyFont="1" applyFill="1" applyBorder="1" applyProtection="1">
      <alignment vertical="center"/>
    </xf>
    <xf numFmtId="0" fontId="16" fillId="0" borderId="0" xfId="0" applyFont="1" applyFill="1" applyBorder="1" applyProtection="1">
      <alignment vertical="center"/>
    </xf>
    <xf numFmtId="0" fontId="4" fillId="0" borderId="0" xfId="2" applyNumberFormat="1" applyFont="1" applyFill="1" applyBorder="1" applyProtection="1">
      <alignment vertical="center"/>
    </xf>
    <xf numFmtId="0" fontId="4" fillId="0" borderId="0" xfId="2" applyFont="1" applyFill="1" applyBorder="1" applyProtection="1">
      <alignment vertical="center"/>
    </xf>
    <xf numFmtId="176" fontId="4" fillId="0" borderId="0" xfId="2" applyNumberFormat="1" applyFont="1" applyFill="1" applyBorder="1" applyAlignment="1" applyProtection="1">
      <alignment horizontal="center" vertical="center"/>
    </xf>
    <xf numFmtId="0" fontId="4" fillId="0" borderId="32" xfId="3" applyFont="1" applyFill="1" applyBorder="1" applyProtection="1">
      <alignment vertical="center"/>
    </xf>
    <xf numFmtId="179" fontId="3" fillId="0" borderId="16" xfId="0" applyNumberFormat="1" applyFont="1" applyFill="1" applyBorder="1" applyProtection="1">
      <alignment vertical="center"/>
    </xf>
    <xf numFmtId="179" fontId="3" fillId="0" borderId="17" xfId="0" applyNumberFormat="1" applyFont="1" applyFill="1" applyBorder="1" applyProtection="1">
      <alignment vertical="center"/>
    </xf>
    <xf numFmtId="179" fontId="3" fillId="0" borderId="18" xfId="0" applyNumberFormat="1" applyFont="1" applyFill="1" applyBorder="1" applyProtection="1">
      <alignment vertical="center"/>
    </xf>
    <xf numFmtId="0" fontId="19" fillId="0" borderId="0" xfId="0" applyFont="1" applyFill="1" applyBorder="1" applyAlignment="1" applyProtection="1">
      <alignment vertical="top"/>
    </xf>
    <xf numFmtId="0" fontId="4" fillId="0" borderId="0" xfId="3" applyFont="1" applyFill="1" applyBorder="1" applyProtection="1">
      <alignment vertical="center"/>
    </xf>
    <xf numFmtId="0" fontId="3" fillId="0" borderId="0" xfId="0" applyFont="1" applyFill="1" applyBorder="1" applyProtection="1">
      <alignment vertical="center"/>
    </xf>
    <xf numFmtId="178" fontId="4" fillId="0" borderId="0" xfId="2" applyNumberFormat="1" applyFont="1" applyFill="1" applyAlignment="1" applyProtection="1">
      <alignment vertical="top"/>
    </xf>
    <xf numFmtId="0" fontId="21" fillId="0" borderId="0" xfId="3" applyFont="1" applyFill="1" applyProtection="1">
      <alignment vertical="center"/>
    </xf>
    <xf numFmtId="0" fontId="22" fillId="0" borderId="0" xfId="1" applyFont="1" applyFill="1" applyAlignment="1" applyProtection="1">
      <alignment horizontal="center" vertical="center" shrinkToFit="1"/>
    </xf>
    <xf numFmtId="0" fontId="20" fillId="0" borderId="0" xfId="0" applyFont="1" applyFill="1" applyBorder="1" applyAlignment="1" applyProtection="1">
      <alignment horizontal="right" vertical="top"/>
    </xf>
    <xf numFmtId="0" fontId="20" fillId="0" borderId="0" xfId="0" applyFont="1" applyFill="1" applyBorder="1" applyAlignment="1" applyProtection="1">
      <alignment horizontal="right" vertical="top" wrapText="1"/>
    </xf>
    <xf numFmtId="49" fontId="20" fillId="0" borderId="0" xfId="0" applyNumberFormat="1" applyFont="1" applyFill="1" applyBorder="1" applyAlignment="1" applyProtection="1">
      <alignment horizontal="right" vertical="top"/>
    </xf>
    <xf numFmtId="0" fontId="3" fillId="0" borderId="21" xfId="0" applyFont="1" applyFill="1" applyBorder="1" applyProtection="1">
      <alignment vertical="center"/>
    </xf>
    <xf numFmtId="0" fontId="19" fillId="0" borderId="21" xfId="0" applyFont="1" applyFill="1" applyBorder="1" applyAlignment="1" applyProtection="1">
      <alignment vertical="top"/>
    </xf>
    <xf numFmtId="0" fontId="3" fillId="0" borderId="0" xfId="0" applyFont="1" applyFill="1" applyBorder="1" applyProtection="1">
      <alignment vertical="center"/>
    </xf>
    <xf numFmtId="0" fontId="19" fillId="0" borderId="0" xfId="0" applyFont="1" applyFill="1" applyBorder="1" applyAlignment="1" applyProtection="1">
      <alignment vertical="top"/>
    </xf>
    <xf numFmtId="0" fontId="17" fillId="0" borderId="0" xfId="0" applyFont="1" applyFill="1" applyBorder="1" applyProtection="1">
      <alignment vertical="center"/>
    </xf>
    <xf numFmtId="181" fontId="4" fillId="3" borderId="8" xfId="2" applyNumberFormat="1" applyFont="1" applyFill="1" applyBorder="1" applyAlignment="1" applyProtection="1">
      <alignment horizontal="right" vertical="center"/>
      <protection locked="0"/>
    </xf>
    <xf numFmtId="0" fontId="3" fillId="0" borderId="0" xfId="0" applyFont="1" applyFill="1" applyBorder="1" applyProtection="1">
      <alignment vertical="center"/>
    </xf>
    <xf numFmtId="0" fontId="4" fillId="0" borderId="0" xfId="3" applyFont="1" applyFill="1" applyBorder="1" applyProtection="1">
      <alignment vertical="center"/>
    </xf>
    <xf numFmtId="0" fontId="19" fillId="0" borderId="0" xfId="0" applyFont="1" applyFill="1" applyBorder="1" applyAlignment="1" applyProtection="1">
      <alignment vertical="top"/>
    </xf>
    <xf numFmtId="0" fontId="19" fillId="0" borderId="21" xfId="0" applyFont="1" applyFill="1" applyBorder="1" applyAlignment="1" applyProtection="1">
      <alignment vertical="top"/>
    </xf>
    <xf numFmtId="181" fontId="4" fillId="3" borderId="3" xfId="2" applyNumberFormat="1" applyFont="1" applyFill="1" applyBorder="1" applyAlignment="1" applyProtection="1">
      <alignment horizontal="right" vertical="center"/>
      <protection locked="0"/>
    </xf>
    <xf numFmtId="181" fontId="4" fillId="3" borderId="3" xfId="0" applyNumberFormat="1" applyFont="1" applyFill="1" applyBorder="1" applyAlignment="1" applyProtection="1">
      <alignment horizontal="right" vertical="center"/>
      <protection locked="0"/>
    </xf>
    <xf numFmtId="181" fontId="4" fillId="3" borderId="12" xfId="2" applyNumberFormat="1" applyFont="1" applyFill="1" applyBorder="1" applyAlignment="1" applyProtection="1">
      <alignment horizontal="right" vertical="center"/>
      <protection locked="0"/>
    </xf>
    <xf numFmtId="0" fontId="4" fillId="0" borderId="31" xfId="2" applyFont="1" applyFill="1" applyBorder="1" applyAlignment="1">
      <alignment horizontal="center" vertical="center"/>
    </xf>
    <xf numFmtId="177" fontId="0" fillId="0" borderId="30" xfId="0" applyNumberFormat="1" applyFill="1" applyBorder="1" applyAlignment="1" applyProtection="1">
      <alignment horizontal="center" vertical="center" wrapText="1"/>
    </xf>
    <xf numFmtId="177" fontId="4" fillId="0" borderId="30" xfId="0" applyNumberFormat="1" applyFont="1" applyFill="1" applyBorder="1" applyAlignment="1" applyProtection="1">
      <alignment horizontal="right" vertical="center"/>
    </xf>
    <xf numFmtId="177" fontId="4" fillId="0" borderId="30" xfId="0" applyNumberFormat="1" applyFont="1" applyFill="1" applyBorder="1" applyAlignment="1" applyProtection="1">
      <alignment horizontal="right" vertical="top"/>
    </xf>
    <xf numFmtId="179" fontId="4" fillId="0" borderId="16" xfId="2" applyNumberFormat="1" applyFont="1" applyFill="1" applyBorder="1">
      <alignment vertical="center"/>
    </xf>
    <xf numFmtId="179" fontId="4" fillId="0" borderId="18" xfId="2" applyNumberFormat="1" applyFont="1" applyFill="1" applyBorder="1">
      <alignment vertical="center"/>
    </xf>
    <xf numFmtId="0" fontId="19" fillId="0" borderId="30" xfId="0" applyFont="1" applyFill="1" applyBorder="1" applyAlignment="1" applyProtection="1">
      <alignment vertical="top"/>
    </xf>
    <xf numFmtId="0" fontId="27" fillId="0" borderId="0" xfId="6" applyFont="1" applyBorder="1" applyAlignment="1">
      <alignment vertical="center"/>
    </xf>
    <xf numFmtId="0" fontId="25" fillId="0" borderId="0" xfId="6" applyFont="1" applyBorder="1">
      <alignment vertical="center"/>
    </xf>
    <xf numFmtId="0" fontId="25" fillId="0" borderId="0" xfId="6" applyFont="1">
      <alignment vertical="center"/>
    </xf>
    <xf numFmtId="0" fontId="1" fillId="0" borderId="0" xfId="6">
      <alignment vertical="center"/>
    </xf>
    <xf numFmtId="0" fontId="29" fillId="0" borderId="0" xfId="6" applyFont="1" applyBorder="1">
      <alignment vertical="center"/>
    </xf>
    <xf numFmtId="0" fontId="29" fillId="0" borderId="0" xfId="6" applyFont="1">
      <alignment vertical="center"/>
    </xf>
    <xf numFmtId="0" fontId="30" fillId="0" borderId="0" xfId="6" applyFont="1" applyBorder="1">
      <alignment vertical="center"/>
    </xf>
    <xf numFmtId="0" fontId="25" fillId="0" borderId="0" xfId="6" applyFont="1" applyBorder="1" applyAlignment="1"/>
    <xf numFmtId="0" fontId="29" fillId="0" borderId="0" xfId="6" applyFont="1" applyBorder="1" applyAlignment="1"/>
    <xf numFmtId="0" fontId="1" fillId="0" borderId="0" xfId="6" applyAlignment="1"/>
    <xf numFmtId="0" fontId="25" fillId="0" borderId="0" xfId="6" applyFont="1" applyAlignment="1"/>
    <xf numFmtId="0" fontId="31" fillId="0" borderId="0" xfId="6" applyFont="1" applyFill="1" applyBorder="1" applyAlignment="1">
      <alignment horizontal="distributed" vertical="center" indent="1"/>
    </xf>
    <xf numFmtId="0" fontId="29" fillId="0" borderId="0" xfId="6" applyFont="1" applyBorder="1" applyAlignment="1">
      <alignment horizontal="distributed"/>
    </xf>
    <xf numFmtId="0" fontId="33" fillId="0" borderId="0" xfId="2" quotePrefix="1" applyNumberFormat="1" applyFont="1" applyBorder="1" applyAlignment="1" applyProtection="1"/>
    <xf numFmtId="0" fontId="33" fillId="0" borderId="0" xfId="2" applyNumberFormat="1" applyFont="1" applyBorder="1" applyAlignment="1" applyProtection="1"/>
    <xf numFmtId="0" fontId="29" fillId="0" borderId="38" xfId="6" applyFont="1" applyBorder="1" applyAlignment="1"/>
    <xf numFmtId="0" fontId="29" fillId="0" borderId="0" xfId="6" applyFont="1" applyAlignment="1"/>
    <xf numFmtId="0" fontId="29" fillId="0" borderId="0" xfId="6" applyFont="1" applyAlignment="1">
      <alignment horizontal="distributed"/>
    </xf>
    <xf numFmtId="0" fontId="0" fillId="0" borderId="0" xfId="0" applyBorder="1">
      <alignment vertical="center"/>
    </xf>
    <xf numFmtId="0" fontId="33" fillId="0" borderId="0" xfId="2" applyFont="1" applyBorder="1" applyAlignment="1" applyProtection="1">
      <alignment horizontal="left" shrinkToFit="1"/>
    </xf>
    <xf numFmtId="0" fontId="29" fillId="0" borderId="38" xfId="6" applyFont="1" applyBorder="1">
      <alignment vertical="center"/>
    </xf>
    <xf numFmtId="0" fontId="33" fillId="0" borderId="0" xfId="7" applyFont="1" applyBorder="1" applyAlignment="1" applyProtection="1">
      <alignment horizontal="left" shrinkToFit="1"/>
    </xf>
    <xf numFmtId="0" fontId="29" fillId="0" borderId="38" xfId="6" applyFont="1" applyBorder="1" applyAlignment="1">
      <alignment vertical="center"/>
    </xf>
    <xf numFmtId="0" fontId="33" fillId="0" borderId="0" xfId="2" applyFont="1" applyAlignment="1" applyProtection="1">
      <alignment horizontal="distributed" vertical="center"/>
    </xf>
    <xf numFmtId="0" fontId="33" fillId="0" borderId="38" xfId="2" applyFont="1" applyBorder="1" applyAlignment="1" applyProtection="1">
      <alignment vertical="center"/>
    </xf>
    <xf numFmtId="0" fontId="33" fillId="0" borderId="0" xfId="2" applyFont="1" applyAlignment="1" applyProtection="1">
      <alignment horizontal="right" vertical="center"/>
    </xf>
    <xf numFmtId="0" fontId="33" fillId="0" borderId="0" xfId="2" applyFont="1" applyAlignment="1" applyProtection="1">
      <alignment horizontal="distributed" vertical="center" shrinkToFit="1"/>
    </xf>
    <xf numFmtId="0" fontId="33" fillId="0" borderId="0" xfId="2" applyFont="1" applyBorder="1" applyAlignment="1" applyProtection="1">
      <alignment horizontal="distributed" vertical="center"/>
    </xf>
    <xf numFmtId="0" fontId="29" fillId="0" borderId="0" xfId="0" applyFont="1" applyBorder="1">
      <alignment vertical="center"/>
    </xf>
    <xf numFmtId="0" fontId="25" fillId="0" borderId="0" xfId="0" applyFont="1">
      <alignment vertical="center"/>
    </xf>
    <xf numFmtId="0" fontId="25" fillId="0" borderId="0" xfId="0" applyFont="1" applyBorder="1">
      <alignment vertical="center"/>
    </xf>
    <xf numFmtId="0" fontId="29" fillId="0" borderId="17" xfId="0" applyFont="1" applyBorder="1" applyAlignment="1">
      <alignment vertical="center" shrinkToFit="1"/>
    </xf>
    <xf numFmtId="0" fontId="29" fillId="0" borderId="9" xfId="0" applyFont="1" applyBorder="1" applyAlignment="1">
      <alignment vertical="center" shrinkToFit="1"/>
    </xf>
    <xf numFmtId="179" fontId="4" fillId="0" borderId="31" xfId="3" applyNumberFormat="1" applyFont="1" applyFill="1" applyBorder="1" applyAlignment="1">
      <alignment vertical="center"/>
    </xf>
    <xf numFmtId="181" fontId="4" fillId="3" borderId="8" xfId="0" applyNumberFormat="1" applyFont="1" applyFill="1" applyBorder="1" applyAlignment="1" applyProtection="1">
      <alignment horizontal="right" vertical="center"/>
      <protection locked="0"/>
    </xf>
    <xf numFmtId="181" fontId="4" fillId="3" borderId="12" xfId="0" applyNumberFormat="1" applyFont="1" applyFill="1" applyBorder="1" applyAlignment="1" applyProtection="1">
      <alignment horizontal="right" vertical="center"/>
      <protection locked="0"/>
    </xf>
    <xf numFmtId="0" fontId="3" fillId="0" borderId="0" xfId="0" applyFont="1" applyFill="1" applyBorder="1" applyProtection="1">
      <alignment vertical="center"/>
    </xf>
    <xf numFmtId="0" fontId="29" fillId="0" borderId="0" xfId="6" applyFont="1" applyBorder="1" applyAlignment="1">
      <alignment horizontal="distributed" shrinkToFit="1"/>
    </xf>
    <xf numFmtId="0" fontId="4" fillId="0" borderId="0" xfId="2" applyFont="1" applyFill="1" applyAlignment="1" applyProtection="1">
      <alignment vertical="center" wrapText="1"/>
    </xf>
    <xf numFmtId="0" fontId="3" fillId="0" borderId="3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32" xfId="0" applyFont="1" applyFill="1" applyBorder="1" applyAlignment="1" applyProtection="1">
      <alignment vertical="center" wrapText="1"/>
    </xf>
    <xf numFmtId="0" fontId="4" fillId="0" borderId="0" xfId="3" applyFont="1" applyFill="1" applyAlignment="1" applyProtection="1">
      <alignment vertical="center" wrapText="1"/>
    </xf>
    <xf numFmtId="0" fontId="4" fillId="0" borderId="0" xfId="3" applyFont="1" applyFill="1" applyAlignment="1">
      <alignment vertical="center" wrapText="1"/>
    </xf>
    <xf numFmtId="0" fontId="3" fillId="0" borderId="0" xfId="0" applyFont="1" applyFill="1" applyBorder="1" applyProtection="1">
      <alignment vertical="center"/>
    </xf>
    <xf numFmtId="0" fontId="4" fillId="0" borderId="0" xfId="3" applyFont="1" applyFill="1" applyProtection="1">
      <alignment vertical="center"/>
    </xf>
    <xf numFmtId="182" fontId="4" fillId="0" borderId="0" xfId="7" applyNumberFormat="1" applyFont="1" applyFill="1" applyProtection="1">
      <alignment vertical="center"/>
    </xf>
    <xf numFmtId="182" fontId="4" fillId="0" borderId="0" xfId="2" applyNumberFormat="1" applyFont="1" applyFill="1" applyProtection="1">
      <alignment vertical="center"/>
    </xf>
    <xf numFmtId="182" fontId="4" fillId="0" borderId="0" xfId="2" applyNumberFormat="1" applyFont="1" applyFill="1" applyAlignment="1" applyProtection="1">
      <alignment vertical="center" wrapText="1"/>
    </xf>
    <xf numFmtId="182" fontId="4" fillId="0" borderId="0" xfId="3" applyNumberFormat="1" applyFont="1" applyFill="1" applyProtection="1">
      <alignment vertical="center"/>
    </xf>
    <xf numFmtId="0" fontId="3" fillId="0" borderId="0" xfId="0" applyFont="1" applyFill="1" applyBorder="1" applyProtection="1">
      <alignment vertical="center"/>
    </xf>
    <xf numFmtId="0" fontId="4" fillId="0" borderId="0" xfId="3" applyFont="1" applyFill="1" applyProtection="1">
      <alignment vertical="center"/>
    </xf>
    <xf numFmtId="0" fontId="3" fillId="0" borderId="0" xfId="0" applyFont="1" applyFill="1" applyBorder="1" applyProtection="1">
      <alignment vertical="center"/>
    </xf>
    <xf numFmtId="0" fontId="4" fillId="0" borderId="0" xfId="3" applyFont="1" applyFill="1" applyProtection="1">
      <alignment vertical="center"/>
    </xf>
    <xf numFmtId="14" fontId="33" fillId="0" borderId="38" xfId="2" applyNumberFormat="1" applyFont="1" applyBorder="1" applyAlignment="1" applyProtection="1"/>
    <xf numFmtId="0" fontId="1" fillId="0" borderId="38" xfId="6" applyBorder="1" applyAlignment="1"/>
    <xf numFmtId="177" fontId="15" fillId="0" borderId="12" xfId="0" applyNumberFormat="1" applyFont="1" applyFill="1" applyBorder="1" applyAlignment="1" applyProtection="1">
      <alignment horizontal="center" vertical="center" wrapText="1"/>
    </xf>
    <xf numFmtId="0" fontId="3" fillId="0" borderId="0" xfId="0" applyFont="1" applyFill="1" applyBorder="1" applyProtection="1">
      <alignment vertical="center"/>
    </xf>
    <xf numFmtId="0" fontId="4" fillId="0" borderId="0" xfId="3" applyFont="1" applyFill="1" applyProtection="1">
      <alignment vertical="center"/>
    </xf>
    <xf numFmtId="0" fontId="3" fillId="0" borderId="30" xfId="0" applyFont="1" applyFill="1" applyBorder="1" applyAlignment="1" applyProtection="1">
      <alignment vertical="center"/>
    </xf>
    <xf numFmtId="14" fontId="4" fillId="0" borderId="0" xfId="3" applyNumberFormat="1" applyFont="1" applyFill="1" applyProtection="1">
      <alignment vertical="center"/>
    </xf>
    <xf numFmtId="0" fontId="3" fillId="0" borderId="0" xfId="0" applyFont="1" applyFill="1" applyBorder="1" applyProtection="1">
      <alignment vertical="center"/>
    </xf>
    <xf numFmtId="0" fontId="20" fillId="0" borderId="21" xfId="0" applyFont="1" applyFill="1" applyBorder="1" applyAlignment="1" applyProtection="1">
      <alignment horizontal="right" vertical="top" wrapText="1"/>
    </xf>
    <xf numFmtId="0" fontId="4" fillId="0" borderId="0" xfId="3" applyFont="1" applyFill="1" applyBorder="1" applyProtection="1">
      <alignment vertical="center"/>
    </xf>
    <xf numFmtId="49" fontId="3" fillId="3"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xf>
    <xf numFmtId="0" fontId="20" fillId="0" borderId="0" xfId="0" applyFont="1" applyFill="1" applyBorder="1" applyAlignment="1" applyProtection="1">
      <alignment vertical="top"/>
    </xf>
    <xf numFmtId="0" fontId="3" fillId="0" borderId="0" xfId="0" applyFont="1" applyFill="1" applyBorder="1" applyProtection="1">
      <alignment vertical="center"/>
    </xf>
    <xf numFmtId="177" fontId="4" fillId="3" borderId="8" xfId="2" applyNumberFormat="1" applyFont="1" applyFill="1" applyBorder="1" applyAlignment="1" applyProtection="1">
      <alignment horizontal="right" vertical="center"/>
      <protection locked="0"/>
    </xf>
    <xf numFmtId="176" fontId="4" fillId="3" borderId="10" xfId="2" applyNumberFormat="1" applyFont="1" applyFill="1" applyBorder="1" applyAlignment="1" applyProtection="1">
      <alignment horizontal="right" vertical="center"/>
      <protection locked="0"/>
    </xf>
    <xf numFmtId="177" fontId="4" fillId="3" borderId="12" xfId="2" applyNumberFormat="1" applyFont="1" applyFill="1" applyBorder="1" applyAlignment="1" applyProtection="1">
      <alignment horizontal="right" vertical="center"/>
      <protection locked="0"/>
    </xf>
    <xf numFmtId="176" fontId="4" fillId="3" borderId="14" xfId="2" applyNumberFormat="1" applyFont="1" applyFill="1" applyBorder="1" applyAlignment="1" applyProtection="1">
      <alignment horizontal="right" vertical="center"/>
      <protection locked="0"/>
    </xf>
    <xf numFmtId="0" fontId="20" fillId="0" borderId="0" xfId="0" applyFont="1" applyFill="1" applyBorder="1" applyAlignment="1" applyProtection="1">
      <alignment vertical="top" wrapText="1"/>
    </xf>
    <xf numFmtId="0" fontId="4" fillId="3" borderId="8" xfId="2" applyNumberFormat="1" applyFont="1" applyFill="1" applyBorder="1" applyAlignment="1" applyProtection="1">
      <alignment horizontal="center" vertical="center"/>
      <protection locked="0"/>
    </xf>
    <xf numFmtId="0" fontId="4" fillId="3" borderId="10" xfId="2" applyNumberFormat="1" applyFont="1" applyFill="1" applyBorder="1" applyAlignment="1" applyProtection="1">
      <alignment horizontal="center" vertical="center"/>
      <protection locked="0"/>
    </xf>
    <xf numFmtId="0" fontId="17" fillId="0" borderId="24" xfId="0" applyFont="1" applyFill="1" applyBorder="1" applyAlignment="1" applyProtection="1">
      <alignment horizontal="left" vertical="center" indent="1"/>
    </xf>
    <xf numFmtId="0" fontId="17" fillId="0" borderId="25" xfId="0" applyFont="1" applyFill="1" applyBorder="1" applyAlignment="1" applyProtection="1">
      <alignment horizontal="left" vertical="center" indent="1"/>
    </xf>
    <xf numFmtId="0" fontId="17" fillId="0" borderId="29" xfId="0" applyFont="1" applyFill="1" applyBorder="1" applyAlignment="1" applyProtection="1">
      <alignment horizontal="left" vertical="center" indent="1"/>
    </xf>
    <xf numFmtId="180" fontId="3" fillId="3" borderId="0" xfId="0" applyNumberFormat="1" applyFont="1" applyFill="1" applyBorder="1" applyAlignment="1" applyProtection="1">
      <alignment horizontal="left" vertical="center"/>
      <protection locked="0"/>
    </xf>
    <xf numFmtId="0" fontId="4" fillId="0" borderId="24" xfId="3" applyFont="1" applyFill="1" applyBorder="1" applyAlignment="1">
      <alignment horizontal="center" vertical="center"/>
    </xf>
    <xf numFmtId="0" fontId="4" fillId="0" borderId="27" xfId="3" applyFont="1" applyFill="1" applyBorder="1" applyAlignment="1">
      <alignment horizontal="center" vertical="center"/>
    </xf>
    <xf numFmtId="177" fontId="10" fillId="0" borderId="12" xfId="0" applyNumberFormat="1" applyFont="1" applyFill="1" applyBorder="1" applyAlignment="1">
      <alignment horizontal="center" vertical="center" wrapText="1"/>
    </xf>
    <xf numFmtId="177" fontId="10" fillId="0" borderId="15" xfId="0" applyNumberFormat="1" applyFont="1" applyFill="1" applyBorder="1" applyAlignment="1">
      <alignment horizontal="center" vertical="center" wrapText="1"/>
    </xf>
    <xf numFmtId="177" fontId="4" fillId="3" borderId="8" xfId="0" applyNumberFormat="1" applyFont="1" applyFill="1" applyBorder="1" applyAlignment="1" applyProtection="1">
      <alignment horizontal="right" vertical="center" shrinkToFit="1"/>
      <protection locked="0"/>
    </xf>
    <xf numFmtId="177" fontId="4" fillId="3" borderId="9" xfId="0" applyNumberFormat="1" applyFont="1" applyFill="1" applyBorder="1" applyAlignment="1" applyProtection="1">
      <alignment horizontal="right" vertical="center" shrinkToFit="1"/>
      <protection locked="0"/>
    </xf>
    <xf numFmtId="177" fontId="4" fillId="3" borderId="11" xfId="0" applyNumberFormat="1" applyFont="1" applyFill="1" applyBorder="1" applyAlignment="1" applyProtection="1">
      <alignment horizontal="right" vertical="center" shrinkToFit="1"/>
      <protection locked="0"/>
    </xf>
    <xf numFmtId="177" fontId="4" fillId="3" borderId="12" xfId="0" applyNumberFormat="1" applyFont="1" applyFill="1" applyBorder="1" applyAlignment="1" applyProtection="1">
      <alignment horizontal="right" vertical="center" shrinkToFit="1"/>
      <protection locked="0"/>
    </xf>
    <xf numFmtId="177" fontId="4" fillId="3" borderId="13" xfId="0" applyNumberFormat="1" applyFont="1" applyFill="1" applyBorder="1" applyAlignment="1" applyProtection="1">
      <alignment horizontal="right" vertical="center" shrinkToFit="1"/>
      <protection locked="0"/>
    </xf>
    <xf numFmtId="177" fontId="4" fillId="3" borderId="15" xfId="0" applyNumberFormat="1" applyFont="1" applyFill="1" applyBorder="1" applyAlignment="1" applyProtection="1">
      <alignment horizontal="right" vertical="center" shrinkToFit="1"/>
      <protection locked="0"/>
    </xf>
    <xf numFmtId="0" fontId="4" fillId="3" borderId="17" xfId="2" applyNumberFormat="1" applyFont="1" applyFill="1" applyBorder="1" applyAlignment="1" applyProtection="1">
      <alignment horizontal="center" vertical="center"/>
      <protection locked="0"/>
    </xf>
    <xf numFmtId="0" fontId="37" fillId="0" borderId="9" xfId="0" applyFont="1" applyFill="1" applyBorder="1" applyProtection="1">
      <alignment vertical="center"/>
    </xf>
    <xf numFmtId="0" fontId="37" fillId="0" borderId="11" xfId="0" applyFont="1" applyFill="1" applyBorder="1" applyProtection="1">
      <alignment vertical="center"/>
    </xf>
    <xf numFmtId="0" fontId="4" fillId="3" borderId="12" xfId="2" applyNumberFormat="1" applyFont="1" applyFill="1" applyBorder="1" applyAlignment="1" applyProtection="1">
      <alignment horizontal="center" vertical="center"/>
      <protection locked="0"/>
    </xf>
    <xf numFmtId="0" fontId="4" fillId="3" borderId="14" xfId="2" applyNumberFormat="1" applyFont="1" applyFill="1" applyBorder="1" applyAlignment="1" applyProtection="1">
      <alignment horizontal="center" vertical="center"/>
      <protection locked="0"/>
    </xf>
    <xf numFmtId="49" fontId="3" fillId="3" borderId="0" xfId="0" applyNumberFormat="1" applyFont="1" applyFill="1" applyBorder="1" applyAlignment="1" applyProtection="1">
      <alignment vertical="center" shrinkToFit="1"/>
      <protection locked="0"/>
    </xf>
    <xf numFmtId="0" fontId="17" fillId="0" borderId="0" xfId="0" applyFont="1" applyFill="1" applyBorder="1" applyProtection="1">
      <alignment vertical="center"/>
    </xf>
    <xf numFmtId="0" fontId="3" fillId="3" borderId="0" xfId="0" applyNumberFormat="1" applyFont="1" applyFill="1" applyBorder="1" applyAlignment="1" applyProtection="1">
      <alignment horizontal="left" vertical="center"/>
      <protection locked="0"/>
    </xf>
    <xf numFmtId="178" fontId="7" fillId="0" borderId="0" xfId="2" applyNumberFormat="1" applyFont="1" applyFill="1" applyAlignment="1" applyProtection="1">
      <alignment horizontal="right" vertical="top"/>
    </xf>
    <xf numFmtId="176" fontId="3" fillId="3" borderId="0" xfId="0" applyNumberFormat="1" applyFont="1" applyFill="1" applyBorder="1" applyAlignment="1" applyProtection="1">
      <alignment horizontal="left" vertical="center"/>
      <protection locked="0"/>
    </xf>
    <xf numFmtId="0" fontId="4" fillId="0" borderId="21" xfId="3" applyNumberFormat="1" applyFont="1" applyFill="1" applyBorder="1" applyProtection="1">
      <alignment vertical="center"/>
    </xf>
    <xf numFmtId="0" fontId="19" fillId="0" borderId="0" xfId="3" applyNumberFormat="1" applyFont="1" applyFill="1" applyProtection="1">
      <alignment vertical="center"/>
    </xf>
    <xf numFmtId="0" fontId="3" fillId="0" borderId="0" xfId="3" applyNumberFormat="1" applyFont="1" applyFill="1" applyProtection="1">
      <alignment vertical="center"/>
    </xf>
    <xf numFmtId="181" fontId="3" fillId="3" borderId="0" xfId="0" applyNumberFormat="1" applyFont="1" applyFill="1" applyBorder="1" applyAlignment="1" applyProtection="1">
      <alignment horizontal="right" vertical="center"/>
      <protection locked="0"/>
    </xf>
    <xf numFmtId="0" fontId="3" fillId="0" borderId="21" xfId="0" applyFont="1" applyFill="1" applyBorder="1" applyProtection="1">
      <alignment vertical="center"/>
    </xf>
    <xf numFmtId="0" fontId="3" fillId="0" borderId="0" xfId="0" applyFont="1" applyFill="1" applyBorder="1" applyAlignment="1" applyProtection="1">
      <alignment vertical="center" wrapText="1"/>
    </xf>
    <xf numFmtId="49" fontId="20" fillId="0" borderId="0" xfId="0" applyNumberFormat="1" applyFont="1" applyFill="1" applyBorder="1" applyAlignment="1" applyProtection="1">
      <alignment vertical="top"/>
    </xf>
    <xf numFmtId="177" fontId="3" fillId="3" borderId="0" xfId="0" applyNumberFormat="1" applyFont="1" applyFill="1" applyBorder="1" applyAlignment="1" applyProtection="1">
      <alignment horizontal="right" vertical="center"/>
      <protection locked="0"/>
    </xf>
    <xf numFmtId="49" fontId="3" fillId="3" borderId="0" xfId="0" applyNumberFormat="1" applyFont="1" applyFill="1" applyBorder="1" applyAlignment="1" applyProtection="1">
      <alignment horizontal="right" vertical="center"/>
      <protection locked="0"/>
    </xf>
    <xf numFmtId="177" fontId="0" fillId="0" borderId="28" xfId="0" applyNumberFormat="1" applyFill="1" applyBorder="1" applyAlignment="1" applyProtection="1">
      <alignment horizontal="center" vertical="center" wrapText="1"/>
    </xf>
    <xf numFmtId="177" fontId="0" fillId="0" borderId="25" xfId="0" applyNumberFormat="1" applyFill="1" applyBorder="1" applyAlignment="1" applyProtection="1">
      <alignment horizontal="center" vertical="center" wrapText="1"/>
    </xf>
    <xf numFmtId="177" fontId="0" fillId="0" borderId="29" xfId="0" applyNumberFormat="1" applyFill="1" applyBorder="1" applyAlignment="1" applyProtection="1">
      <alignment horizontal="center" vertical="center" wrapText="1"/>
    </xf>
    <xf numFmtId="177" fontId="0" fillId="0" borderId="20" xfId="0" applyNumberFormat="1" applyFill="1" applyBorder="1" applyAlignment="1" applyProtection="1">
      <alignment horizontal="center" vertical="center" wrapText="1"/>
    </xf>
    <xf numFmtId="177" fontId="0" fillId="0" borderId="21" xfId="0" applyNumberFormat="1" applyFill="1" applyBorder="1" applyAlignment="1" applyProtection="1">
      <alignment horizontal="center" vertical="center" wrapText="1"/>
    </xf>
    <xf numFmtId="177" fontId="0" fillId="0" borderId="23" xfId="0" applyNumberFormat="1" applyFill="1" applyBorder="1" applyAlignment="1" applyProtection="1">
      <alignment horizontal="center" vertical="center" wrapText="1"/>
    </xf>
    <xf numFmtId="0" fontId="0" fillId="0" borderId="24" xfId="0" applyNumberFormat="1" applyFill="1" applyBorder="1" applyAlignment="1" applyProtection="1">
      <alignment horizontal="center" vertical="center"/>
    </xf>
    <xf numFmtId="0" fontId="0" fillId="0" borderId="26" xfId="0" applyNumberFormat="1" applyFill="1" applyBorder="1" applyAlignment="1" applyProtection="1">
      <alignment horizontal="center" vertical="center"/>
    </xf>
    <xf numFmtId="0" fontId="0" fillId="0" borderId="27" xfId="0" applyNumberFormat="1" applyFill="1" applyBorder="1" applyAlignment="1" applyProtection="1">
      <alignment horizontal="center" vertical="center"/>
    </xf>
    <xf numFmtId="0" fontId="0" fillId="0" borderId="22" xfId="0" applyNumberFormat="1" applyFill="1" applyBorder="1" applyAlignment="1" applyProtection="1">
      <alignment horizontal="center" vertical="center"/>
    </xf>
    <xf numFmtId="0" fontId="16" fillId="0" borderId="24" xfId="0" applyFont="1" applyFill="1" applyBorder="1" applyAlignment="1" applyProtection="1">
      <alignment horizontal="left" vertical="center" indent="1"/>
    </xf>
    <xf numFmtId="0" fontId="16" fillId="0" borderId="25" xfId="0" applyFont="1" applyFill="1" applyBorder="1" applyAlignment="1" applyProtection="1">
      <alignment horizontal="left" vertical="center" indent="1"/>
    </xf>
    <xf numFmtId="0" fontId="16" fillId="0" borderId="29" xfId="0" applyFont="1" applyFill="1" applyBorder="1" applyAlignment="1" applyProtection="1">
      <alignment horizontal="left" vertical="center" indent="1"/>
    </xf>
    <xf numFmtId="0" fontId="16" fillId="0" borderId="27" xfId="0" applyFont="1" applyFill="1" applyBorder="1" applyAlignment="1" applyProtection="1">
      <alignment horizontal="left" vertical="center" indent="1"/>
    </xf>
    <xf numFmtId="0" fontId="16" fillId="0" borderId="21" xfId="0" applyFont="1" applyFill="1" applyBorder="1" applyAlignment="1" applyProtection="1">
      <alignment horizontal="left" vertical="center" indent="1"/>
    </xf>
    <xf numFmtId="0" fontId="16" fillId="0" borderId="23" xfId="0" applyFont="1" applyFill="1" applyBorder="1" applyAlignment="1" applyProtection="1">
      <alignment horizontal="left" vertical="center" indent="1"/>
    </xf>
    <xf numFmtId="177" fontId="4" fillId="3" borderId="3" xfId="0" applyNumberFormat="1" applyFont="1" applyFill="1" applyBorder="1" applyAlignment="1" applyProtection="1">
      <alignment horizontal="right" vertical="center" shrinkToFit="1"/>
      <protection locked="0"/>
    </xf>
    <xf numFmtId="177" fontId="4" fillId="3" borderId="4" xfId="0" applyNumberFormat="1" applyFont="1" applyFill="1" applyBorder="1" applyAlignment="1" applyProtection="1">
      <alignment horizontal="right" vertical="center" shrinkToFit="1"/>
      <protection locked="0"/>
    </xf>
    <xf numFmtId="177" fontId="4" fillId="3" borderId="6" xfId="0" applyNumberFormat="1" applyFont="1" applyFill="1" applyBorder="1" applyAlignment="1" applyProtection="1">
      <alignment horizontal="right" vertical="center" shrinkToFit="1"/>
      <protection locked="0"/>
    </xf>
    <xf numFmtId="0" fontId="4" fillId="0" borderId="4" xfId="2" applyNumberFormat="1" applyFont="1" applyFill="1" applyBorder="1" applyAlignment="1">
      <alignment vertical="center"/>
    </xf>
    <xf numFmtId="0" fontId="4" fillId="0" borderId="5" xfId="2" applyNumberFormat="1" applyFont="1" applyFill="1" applyBorder="1" applyAlignment="1">
      <alignment vertical="center"/>
    </xf>
    <xf numFmtId="177" fontId="4" fillId="3" borderId="3" xfId="2" applyNumberFormat="1" applyFont="1" applyFill="1" applyBorder="1" applyAlignment="1" applyProtection="1">
      <alignment horizontal="right" vertical="center"/>
      <protection locked="0"/>
    </xf>
    <xf numFmtId="176" fontId="4" fillId="3" borderId="5" xfId="2" applyNumberFormat="1" applyFont="1" applyFill="1" applyBorder="1" applyAlignment="1" applyProtection="1">
      <alignment horizontal="right" vertical="center"/>
      <protection locked="0"/>
    </xf>
    <xf numFmtId="0" fontId="20" fillId="0" borderId="21" xfId="0" applyFont="1" applyFill="1" applyBorder="1" applyAlignment="1" applyProtection="1">
      <alignment horizontal="left" vertical="top" wrapText="1"/>
    </xf>
    <xf numFmtId="0" fontId="20" fillId="0" borderId="21" xfId="0" applyFont="1" applyFill="1" applyBorder="1" applyAlignment="1" applyProtection="1">
      <alignment horizontal="left" vertical="top"/>
    </xf>
    <xf numFmtId="177" fontId="11" fillId="0" borderId="3" xfId="0" applyNumberFormat="1" applyFont="1" applyFill="1" applyBorder="1" applyAlignment="1" applyProtection="1">
      <alignment horizontal="center" vertical="center" wrapText="1"/>
    </xf>
    <xf numFmtId="177" fontId="11" fillId="0" borderId="4" xfId="0" applyNumberFormat="1" applyFont="1" applyFill="1" applyBorder="1" applyAlignment="1" applyProtection="1">
      <alignment horizontal="center" vertical="center" wrapText="1"/>
    </xf>
    <xf numFmtId="177" fontId="11" fillId="0" borderId="5" xfId="0" applyNumberFormat="1" applyFont="1" applyFill="1" applyBorder="1" applyAlignment="1" applyProtection="1">
      <alignment horizontal="center" vertical="center" wrapText="1"/>
    </xf>
    <xf numFmtId="0" fontId="37" fillId="0" borderId="13" xfId="0" applyFont="1" applyFill="1" applyBorder="1" applyProtection="1">
      <alignment vertical="center"/>
    </xf>
    <xf numFmtId="0" fontId="37" fillId="0" borderId="15" xfId="0" applyFont="1" applyFill="1" applyBorder="1" applyProtection="1">
      <alignment vertical="center"/>
    </xf>
    <xf numFmtId="176" fontId="0" fillId="0" borderId="33" xfId="0" applyNumberFormat="1" applyFill="1" applyBorder="1" applyAlignment="1">
      <alignment horizontal="center" vertical="center" wrapText="1"/>
    </xf>
    <xf numFmtId="176" fontId="0" fillId="0" borderId="1" xfId="0" applyNumberFormat="1" applyFill="1" applyBorder="1" applyAlignment="1">
      <alignment horizontal="center" vertical="center" wrapText="1"/>
    </xf>
    <xf numFmtId="176" fontId="0" fillId="0" borderId="2" xfId="0" applyNumberFormat="1" applyFill="1" applyBorder="1" applyAlignment="1">
      <alignment horizontal="center" vertical="center" wrapText="1"/>
    </xf>
    <xf numFmtId="176" fontId="4" fillId="3" borderId="3" xfId="2" applyNumberFormat="1" applyFont="1" applyFill="1" applyBorder="1" applyAlignment="1" applyProtection="1">
      <alignment horizontal="left" vertical="center"/>
      <protection locked="0"/>
    </xf>
    <xf numFmtId="176" fontId="4" fillId="3" borderId="4" xfId="2" applyNumberFormat="1" applyFont="1" applyFill="1" applyBorder="1" applyAlignment="1" applyProtection="1">
      <alignment horizontal="left" vertical="center"/>
      <protection locked="0"/>
    </xf>
    <xf numFmtId="176" fontId="4" fillId="3" borderId="6" xfId="2" applyNumberFormat="1" applyFont="1" applyFill="1" applyBorder="1" applyAlignment="1" applyProtection="1">
      <alignment horizontal="left" vertical="center"/>
      <protection locked="0"/>
    </xf>
    <xf numFmtId="176" fontId="4" fillId="3" borderId="12" xfId="2" applyNumberFormat="1" applyFont="1" applyFill="1" applyBorder="1" applyAlignment="1" applyProtection="1">
      <alignment horizontal="left" vertical="center"/>
      <protection locked="0"/>
    </xf>
    <xf numFmtId="176" fontId="4" fillId="3" borderId="13" xfId="2" applyNumberFormat="1" applyFont="1" applyFill="1" applyBorder="1" applyAlignment="1" applyProtection="1">
      <alignment horizontal="left" vertical="center"/>
      <protection locked="0"/>
    </xf>
    <xf numFmtId="176" fontId="4" fillId="3" borderId="15" xfId="2" applyNumberFormat="1" applyFont="1" applyFill="1" applyBorder="1" applyAlignment="1" applyProtection="1">
      <alignment horizontal="left" vertical="center"/>
      <protection locked="0"/>
    </xf>
    <xf numFmtId="0" fontId="4" fillId="0" borderId="33" xfId="2" applyNumberFormat="1" applyFont="1" applyFill="1" applyBorder="1" applyAlignment="1">
      <alignment horizontal="center" vertical="center"/>
    </xf>
    <xf numFmtId="0" fontId="4" fillId="0" borderId="1" xfId="2" applyNumberFormat="1" applyFont="1" applyFill="1" applyBorder="1" applyAlignment="1">
      <alignment horizontal="center" vertical="center"/>
    </xf>
    <xf numFmtId="0" fontId="4" fillId="0" borderId="34" xfId="2" applyNumberFormat="1" applyFont="1" applyFill="1" applyBorder="1" applyAlignment="1">
      <alignment horizontal="center" vertical="center"/>
    </xf>
    <xf numFmtId="0" fontId="4" fillId="3" borderId="18" xfId="2" applyNumberFormat="1" applyFont="1" applyFill="1" applyBorder="1" applyAlignment="1" applyProtection="1">
      <alignment horizontal="center" vertical="center"/>
      <protection locked="0"/>
    </xf>
    <xf numFmtId="181" fontId="4" fillId="5" borderId="33" xfId="2" applyNumberFormat="1" applyFont="1" applyFill="1" applyBorder="1" applyAlignment="1" applyProtection="1">
      <alignment horizontal="right" vertical="center"/>
      <protection locked="0"/>
    </xf>
    <xf numFmtId="181" fontId="4" fillId="5" borderId="2" xfId="2" applyNumberFormat="1" applyFont="1" applyFill="1" applyBorder="1" applyAlignment="1" applyProtection="1">
      <alignment horizontal="right" vertical="center"/>
      <protection locked="0"/>
    </xf>
    <xf numFmtId="0" fontId="4" fillId="0" borderId="1" xfId="2" applyNumberFormat="1" applyFont="1" applyFill="1" applyBorder="1" applyAlignment="1">
      <alignment vertical="center"/>
    </xf>
    <xf numFmtId="0" fontId="4" fillId="0" borderId="34" xfId="2" applyNumberFormat="1" applyFont="1" applyFill="1" applyBorder="1" applyAlignment="1">
      <alignment vertical="center"/>
    </xf>
    <xf numFmtId="0" fontId="37" fillId="0" borderId="4" xfId="3" applyFont="1" applyFill="1" applyBorder="1" applyProtection="1">
      <alignment vertical="center"/>
    </xf>
    <xf numFmtId="0" fontId="37" fillId="0" borderId="6" xfId="3" applyFont="1" applyFill="1" applyBorder="1" applyProtection="1">
      <alignment vertical="center"/>
    </xf>
    <xf numFmtId="0" fontId="4" fillId="0" borderId="13" xfId="2" applyNumberFormat="1" applyFont="1" applyFill="1" applyBorder="1" applyAlignment="1">
      <alignment vertical="center"/>
    </xf>
    <xf numFmtId="0" fontId="4" fillId="0" borderId="14" xfId="2" applyNumberFormat="1" applyFont="1" applyFill="1" applyBorder="1" applyAlignment="1">
      <alignment vertical="center"/>
    </xf>
    <xf numFmtId="0" fontId="4" fillId="3" borderId="3" xfId="2" applyNumberFormat="1" applyFont="1" applyFill="1" applyBorder="1" applyAlignment="1" applyProtection="1">
      <alignment horizontal="center" vertical="center"/>
      <protection locked="0"/>
    </xf>
    <xf numFmtId="0" fontId="4" fillId="3" borderId="5" xfId="2" applyNumberFormat="1" applyFont="1" applyFill="1" applyBorder="1" applyAlignment="1" applyProtection="1">
      <alignment horizontal="center" vertical="center"/>
      <protection locked="0"/>
    </xf>
    <xf numFmtId="0" fontId="4" fillId="4" borderId="8" xfId="2" applyNumberFormat="1" applyFont="1" applyFill="1" applyBorder="1" applyAlignment="1" applyProtection="1">
      <alignment horizontal="center" vertical="center"/>
    </xf>
    <xf numFmtId="0" fontId="4" fillId="4" borderId="10" xfId="2" applyNumberFormat="1" applyFont="1" applyFill="1" applyBorder="1" applyAlignment="1" applyProtection="1">
      <alignment horizontal="center" vertical="center"/>
    </xf>
    <xf numFmtId="177" fontId="25" fillId="0" borderId="3" xfId="0" applyNumberFormat="1" applyFont="1" applyFill="1" applyBorder="1" applyAlignment="1" applyProtection="1">
      <alignment horizontal="center" vertical="center" wrapText="1"/>
    </xf>
    <xf numFmtId="177" fontId="26" fillId="0" borderId="5" xfId="0" applyNumberFormat="1" applyFont="1" applyFill="1" applyBorder="1" applyAlignment="1" applyProtection="1">
      <alignment horizontal="center" vertical="center" wrapText="1"/>
    </xf>
    <xf numFmtId="177" fontId="0" fillId="0" borderId="4" xfId="0" applyNumberFormat="1" applyFill="1" applyBorder="1" applyAlignment="1">
      <alignment horizontal="center" vertical="center" wrapText="1"/>
    </xf>
    <xf numFmtId="177" fontId="0" fillId="0" borderId="6" xfId="0" applyNumberFormat="1" applyFill="1" applyBorder="1" applyAlignment="1">
      <alignment horizontal="center" vertical="center" wrapText="1"/>
    </xf>
    <xf numFmtId="0" fontId="4" fillId="0" borderId="1" xfId="2" applyFont="1" applyFill="1" applyBorder="1">
      <alignment vertical="center"/>
    </xf>
    <xf numFmtId="0" fontId="4" fillId="0" borderId="2" xfId="2" applyFont="1" applyFill="1" applyBorder="1">
      <alignment vertical="center"/>
    </xf>
    <xf numFmtId="0" fontId="4" fillId="0" borderId="25" xfId="3" applyFont="1" applyFill="1" applyBorder="1" applyAlignment="1">
      <alignment vertical="center"/>
    </xf>
    <xf numFmtId="0" fontId="4" fillId="0" borderId="29" xfId="3" applyFont="1" applyFill="1" applyBorder="1" applyAlignment="1">
      <alignment vertical="center"/>
    </xf>
    <xf numFmtId="0" fontId="4" fillId="0" borderId="21" xfId="3" applyFont="1" applyFill="1" applyBorder="1" applyAlignment="1">
      <alignment vertical="center"/>
    </xf>
    <xf numFmtId="0" fontId="4" fillId="0" borderId="23" xfId="3" applyFont="1" applyFill="1" applyBorder="1" applyAlignment="1">
      <alignment vertical="center"/>
    </xf>
    <xf numFmtId="177" fontId="0" fillId="0" borderId="18" xfId="0" applyNumberFormat="1" applyFill="1" applyBorder="1" applyAlignment="1">
      <alignment horizontal="center" vertical="center" wrapText="1"/>
    </xf>
    <xf numFmtId="177" fontId="0" fillId="0" borderId="13" xfId="0" applyNumberFormat="1" applyFill="1" applyBorder="1" applyAlignment="1">
      <alignment horizontal="center" vertical="center" wrapText="1"/>
    </xf>
    <xf numFmtId="177" fontId="0" fillId="0" borderId="14" xfId="0" applyNumberFormat="1" applyFill="1" applyBorder="1" applyAlignment="1">
      <alignment horizontal="center" vertical="center" wrapText="1"/>
    </xf>
    <xf numFmtId="181" fontId="4" fillId="5" borderId="31" xfId="2" applyNumberFormat="1" applyFont="1" applyFill="1" applyBorder="1" applyAlignment="1" applyProtection="1">
      <alignment horizontal="right" vertical="center"/>
      <protection locked="0"/>
    </xf>
    <xf numFmtId="181" fontId="4" fillId="5" borderId="1" xfId="2" applyNumberFormat="1" applyFont="1" applyFill="1" applyBorder="1" applyAlignment="1" applyProtection="1">
      <alignment horizontal="right" vertical="center"/>
      <protection locked="0"/>
    </xf>
    <xf numFmtId="181" fontId="4" fillId="5" borderId="34" xfId="2" applyNumberFormat="1" applyFont="1" applyFill="1" applyBorder="1" applyAlignment="1" applyProtection="1">
      <alignment horizontal="right" vertical="center"/>
      <protection locked="0"/>
    </xf>
    <xf numFmtId="0" fontId="4" fillId="3" borderId="3" xfId="2" applyNumberFormat="1" applyFont="1" applyFill="1" applyBorder="1" applyAlignment="1" applyProtection="1">
      <alignment horizontal="left" vertical="center"/>
      <protection locked="0"/>
    </xf>
    <xf numFmtId="0" fontId="4" fillId="3" borderId="4" xfId="2" applyNumberFormat="1" applyFont="1" applyFill="1" applyBorder="1" applyAlignment="1" applyProtection="1">
      <alignment horizontal="left" vertical="center"/>
      <protection locked="0"/>
    </xf>
    <xf numFmtId="0" fontId="4" fillId="3" borderId="5" xfId="2" applyNumberFormat="1" applyFont="1" applyFill="1" applyBorder="1" applyAlignment="1" applyProtection="1">
      <alignment horizontal="left" vertical="center"/>
      <protection locked="0"/>
    </xf>
    <xf numFmtId="0" fontId="4" fillId="3" borderId="12" xfId="2" applyNumberFormat="1" applyFont="1" applyFill="1" applyBorder="1" applyAlignment="1" applyProtection="1">
      <alignment horizontal="left" vertical="center"/>
      <protection locked="0"/>
    </xf>
    <xf numFmtId="0" fontId="4" fillId="3" borderId="13" xfId="2" applyNumberFormat="1" applyFont="1" applyFill="1" applyBorder="1" applyAlignment="1" applyProtection="1">
      <alignment horizontal="left" vertical="center"/>
      <protection locked="0"/>
    </xf>
    <xf numFmtId="0" fontId="4" fillId="3" borderId="14" xfId="2" applyNumberFormat="1" applyFont="1" applyFill="1" applyBorder="1" applyAlignment="1" applyProtection="1">
      <alignment horizontal="left" vertical="center"/>
      <protection locked="0"/>
    </xf>
    <xf numFmtId="177" fontId="0" fillId="0" borderId="28" xfId="0" applyNumberFormat="1" applyFont="1" applyFill="1" applyBorder="1" applyAlignment="1" applyProtection="1">
      <alignment horizontal="center" vertical="center" wrapText="1"/>
    </xf>
    <xf numFmtId="177" fontId="3" fillId="0" borderId="26" xfId="0" applyNumberFormat="1" applyFont="1" applyFill="1" applyBorder="1" applyAlignment="1" applyProtection="1">
      <alignment horizontal="center" vertical="center" wrapText="1"/>
    </xf>
    <xf numFmtId="177" fontId="3" fillId="0" borderId="20" xfId="0" applyNumberFormat="1" applyFont="1" applyFill="1" applyBorder="1" applyAlignment="1" applyProtection="1">
      <alignment horizontal="center" vertical="center" wrapText="1"/>
    </xf>
    <xf numFmtId="177" fontId="3" fillId="0" borderId="22" xfId="0" applyNumberFormat="1" applyFont="1" applyFill="1" applyBorder="1" applyAlignment="1" applyProtection="1">
      <alignment horizontal="center" vertical="center" wrapText="1"/>
    </xf>
    <xf numFmtId="0" fontId="39" fillId="0" borderId="0" xfId="0" applyFont="1" applyFill="1" applyBorder="1" applyAlignment="1" applyProtection="1">
      <alignment vertical="center" wrapText="1"/>
    </xf>
    <xf numFmtId="0" fontId="39" fillId="0" borderId="0" xfId="0" applyFont="1" applyFill="1" applyBorder="1" applyAlignment="1" applyProtection="1">
      <alignment vertical="center"/>
    </xf>
    <xf numFmtId="0" fontId="4" fillId="0" borderId="30" xfId="3" applyFont="1" applyFill="1" applyBorder="1" applyProtection="1">
      <alignment vertical="center"/>
    </xf>
    <xf numFmtId="0" fontId="4" fillId="0" borderId="0" xfId="3" applyFont="1" applyFill="1" applyProtection="1">
      <alignment vertical="center"/>
    </xf>
    <xf numFmtId="0" fontId="23" fillId="0" borderId="28" xfId="0" applyNumberFormat="1" applyFont="1" applyFill="1" applyBorder="1" applyAlignment="1" applyProtection="1">
      <alignment horizontal="center" vertical="center" wrapText="1"/>
    </xf>
    <xf numFmtId="0" fontId="23" fillId="0" borderId="26"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3" fillId="0" borderId="22" xfId="0" applyNumberFormat="1" applyFont="1" applyFill="1" applyBorder="1" applyAlignment="1" applyProtection="1">
      <alignment horizontal="center" vertical="center" wrapText="1"/>
    </xf>
    <xf numFmtId="0" fontId="4" fillId="3" borderId="16" xfId="2" applyNumberFormat="1" applyFont="1" applyFill="1" applyBorder="1" applyAlignment="1" applyProtection="1">
      <alignment horizontal="center" vertical="center"/>
      <protection locked="0"/>
    </xf>
    <xf numFmtId="0" fontId="29" fillId="0" borderId="12" xfId="0" applyFont="1" applyBorder="1" applyAlignment="1">
      <alignment horizontal="center" vertical="center" shrinkToFit="1"/>
    </xf>
    <xf numFmtId="0" fontId="29" fillId="0" borderId="13" xfId="0" applyFont="1" applyBorder="1" applyAlignment="1">
      <alignment horizontal="center" vertical="center" shrinkToFit="1"/>
    </xf>
    <xf numFmtId="0" fontId="29" fillId="0" borderId="15" xfId="0" applyFont="1" applyBorder="1" applyAlignment="1">
      <alignment horizontal="center" vertical="center" shrinkToFit="1"/>
    </xf>
    <xf numFmtId="0" fontId="29" fillId="0" borderId="18" xfId="0" applyFont="1" applyBorder="1" applyAlignment="1">
      <alignment vertical="center" shrinkToFit="1"/>
    </xf>
    <xf numFmtId="0" fontId="29" fillId="0" borderId="13" xfId="0" applyFont="1" applyBorder="1" applyAlignment="1">
      <alignment vertical="center" shrinkToFit="1"/>
    </xf>
    <xf numFmtId="0" fontId="29" fillId="0" borderId="14" xfId="0" applyFont="1" applyBorder="1" applyAlignment="1">
      <alignment vertical="center" shrinkToFit="1"/>
    </xf>
    <xf numFmtId="0" fontId="29" fillId="0" borderId="14" xfId="0" applyFont="1" applyBorder="1" applyAlignment="1">
      <alignment horizontal="center" vertical="center" shrinkToFit="1"/>
    </xf>
    <xf numFmtId="38" fontId="29" fillId="0" borderId="12" xfId="9" quotePrefix="1" applyFont="1" applyBorder="1" applyAlignment="1">
      <alignment vertical="center" shrinkToFit="1"/>
    </xf>
    <xf numFmtId="38" fontId="29" fillId="0" borderId="13" xfId="9" applyFont="1" applyBorder="1" applyAlignment="1">
      <alignment vertical="center" shrinkToFit="1"/>
    </xf>
    <xf numFmtId="38" fontId="29" fillId="0" borderId="14" xfId="9" applyFont="1" applyBorder="1" applyAlignment="1">
      <alignment vertical="center" shrinkToFit="1"/>
    </xf>
    <xf numFmtId="38" fontId="29" fillId="0" borderId="12" xfId="9" quotePrefix="1" applyFont="1" applyBorder="1" applyAlignment="1">
      <alignment vertical="center"/>
    </xf>
    <xf numFmtId="38" fontId="29" fillId="0" borderId="13" xfId="9" applyFont="1" applyBorder="1" applyAlignment="1">
      <alignment vertical="center"/>
    </xf>
    <xf numFmtId="38" fontId="29" fillId="0" borderId="14" xfId="9" applyFont="1" applyBorder="1" applyAlignment="1">
      <alignment vertical="center"/>
    </xf>
    <xf numFmtId="0" fontId="29" fillId="0" borderId="39" xfId="0" applyFont="1" applyBorder="1" applyAlignment="1">
      <alignment vertical="center" shrinkToFit="1"/>
    </xf>
    <xf numFmtId="0" fontId="29" fillId="0" borderId="38" xfId="0" applyFont="1" applyBorder="1" applyAlignment="1">
      <alignment vertical="center" shrinkToFit="1"/>
    </xf>
    <xf numFmtId="0" fontId="29" fillId="0" borderId="19" xfId="0" applyFont="1" applyBorder="1" applyAlignment="1">
      <alignment vertical="center" shrinkToFit="1"/>
    </xf>
    <xf numFmtId="0" fontId="29" fillId="0" borderId="40" xfId="0" applyFont="1" applyBorder="1" applyAlignment="1">
      <alignment horizontal="center" vertical="center" shrinkToFit="1"/>
    </xf>
    <xf numFmtId="0" fontId="29" fillId="0" borderId="38" xfId="0" applyFont="1" applyBorder="1" applyAlignment="1">
      <alignment horizontal="center" vertical="center" shrinkToFit="1"/>
    </xf>
    <xf numFmtId="0" fontId="29" fillId="0" borderId="19" xfId="0" applyFont="1" applyBorder="1" applyAlignment="1">
      <alignment horizontal="center" vertical="center" shrinkToFit="1"/>
    </xf>
    <xf numFmtId="38" fontId="29" fillId="0" borderId="3" xfId="9" quotePrefix="1" applyFont="1" applyBorder="1" applyAlignment="1">
      <alignment vertical="center" shrinkToFit="1"/>
    </xf>
    <xf numFmtId="38" fontId="29" fillId="0" borderId="4" xfId="9" applyFont="1" applyBorder="1" applyAlignment="1">
      <alignment vertical="center" shrinkToFit="1"/>
    </xf>
    <xf numFmtId="38" fontId="29" fillId="0" borderId="5" xfId="9" applyFont="1" applyBorder="1" applyAlignment="1">
      <alignment vertical="center" shrinkToFit="1"/>
    </xf>
    <xf numFmtId="38" fontId="29" fillId="0" borderId="40" xfId="9" quotePrefix="1" applyFont="1" applyBorder="1" applyAlignment="1">
      <alignment vertical="center" shrinkToFit="1"/>
    </xf>
    <xf numFmtId="38" fontId="29" fillId="0" borderId="38" xfId="9" applyFont="1" applyBorder="1" applyAlignment="1">
      <alignment vertical="center" shrinkToFit="1"/>
    </xf>
    <xf numFmtId="38" fontId="29" fillId="0" borderId="19" xfId="9" applyFont="1" applyBorder="1" applyAlignment="1">
      <alignment vertical="center" shrinkToFit="1"/>
    </xf>
    <xf numFmtId="38" fontId="29" fillId="0" borderId="40" xfId="9" quotePrefix="1" applyFont="1" applyBorder="1" applyAlignment="1">
      <alignment vertical="center"/>
    </xf>
    <xf numFmtId="38" fontId="29" fillId="0" borderId="38" xfId="9" applyFont="1" applyBorder="1" applyAlignment="1">
      <alignment vertical="center"/>
    </xf>
    <xf numFmtId="38" fontId="29" fillId="0" borderId="19" xfId="9" applyFont="1" applyBorder="1" applyAlignment="1">
      <alignment vertical="center"/>
    </xf>
    <xf numFmtId="0" fontId="29" fillId="0" borderId="41"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1" xfId="0" applyFont="1" applyBorder="1" applyAlignment="1">
      <alignment horizontal="center" vertical="center" shrinkToFit="1"/>
    </xf>
    <xf numFmtId="0" fontId="29" fillId="0" borderId="17" xfId="0" applyFont="1" applyBorder="1" applyAlignment="1">
      <alignment vertical="center" shrinkToFit="1"/>
    </xf>
    <xf numFmtId="0" fontId="29" fillId="0" borderId="9" xfId="0" applyFont="1" applyBorder="1" applyAlignment="1">
      <alignment vertical="center" shrinkToFit="1"/>
    </xf>
    <xf numFmtId="0" fontId="29" fillId="0" borderId="10" xfId="0" applyFont="1" applyBorder="1" applyAlignment="1">
      <alignment vertical="center" shrinkToFit="1"/>
    </xf>
    <xf numFmtId="0" fontId="29" fillId="0" borderId="10" xfId="0" applyFont="1" applyBorder="1" applyAlignment="1">
      <alignment horizontal="center" vertical="center" shrinkToFit="1"/>
    </xf>
    <xf numFmtId="38" fontId="29" fillId="0" borderId="8" xfId="9" quotePrefix="1" applyFont="1" applyBorder="1" applyAlignment="1">
      <alignment vertical="center" shrinkToFit="1"/>
    </xf>
    <xf numFmtId="38" fontId="29" fillId="0" borderId="9" xfId="9" applyFont="1" applyBorder="1" applyAlignment="1">
      <alignment vertical="center" shrinkToFit="1"/>
    </xf>
    <xf numFmtId="38" fontId="29" fillId="0" borderId="10" xfId="9" applyFont="1" applyBorder="1" applyAlignment="1">
      <alignment vertical="center" shrinkToFit="1"/>
    </xf>
    <xf numFmtId="38" fontId="29" fillId="0" borderId="8" xfId="9" quotePrefix="1" applyFont="1" applyBorder="1" applyAlignment="1">
      <alignment vertical="center"/>
    </xf>
    <xf numFmtId="38" fontId="29" fillId="0" borderId="9" xfId="9" applyFont="1" applyBorder="1" applyAlignment="1">
      <alignment vertical="center"/>
    </xf>
    <xf numFmtId="38" fontId="29" fillId="0" borderId="10" xfId="9" applyFont="1" applyBorder="1" applyAlignment="1">
      <alignment vertical="center"/>
    </xf>
    <xf numFmtId="0" fontId="29" fillId="6" borderId="8"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11" xfId="0" applyFont="1" applyFill="1" applyBorder="1" applyAlignment="1">
      <alignment horizontal="center" vertical="center"/>
    </xf>
    <xf numFmtId="0" fontId="29" fillId="6" borderId="8" xfId="0" applyFont="1" applyFill="1" applyBorder="1" applyAlignment="1">
      <alignment horizontal="center" vertical="center" shrinkToFit="1"/>
    </xf>
    <xf numFmtId="0" fontId="29" fillId="6" borderId="9" xfId="0" applyFont="1" applyFill="1" applyBorder="1" applyAlignment="1">
      <alignment horizontal="center" vertical="center" shrinkToFit="1"/>
    </xf>
    <xf numFmtId="0" fontId="29" fillId="6" borderId="10" xfId="0" applyFont="1" applyFill="1" applyBorder="1" applyAlignment="1">
      <alignment horizontal="center" vertical="center" shrinkToFit="1"/>
    </xf>
    <xf numFmtId="38" fontId="29" fillId="6" borderId="8" xfId="9" applyFont="1" applyFill="1" applyBorder="1">
      <alignment vertical="center"/>
    </xf>
    <xf numFmtId="38" fontId="29" fillId="6" borderId="9" xfId="9" applyFont="1" applyFill="1" applyBorder="1">
      <alignment vertical="center"/>
    </xf>
    <xf numFmtId="38" fontId="29" fillId="6" borderId="10" xfId="9" applyFont="1" applyFill="1" applyBorder="1">
      <alignment vertical="center"/>
    </xf>
    <xf numFmtId="38" fontId="29" fillId="6" borderId="8" xfId="9" applyFont="1" applyFill="1" applyBorder="1" applyAlignment="1">
      <alignment vertical="center"/>
    </xf>
    <xf numFmtId="38" fontId="29" fillId="6" borderId="9" xfId="9" applyFont="1" applyFill="1" applyBorder="1" applyAlignment="1">
      <alignment vertical="center"/>
    </xf>
    <xf numFmtId="38" fontId="29" fillId="6" borderId="10" xfId="9" applyFont="1" applyFill="1" applyBorder="1" applyAlignment="1">
      <alignment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vertical="center" shrinkToFit="1"/>
    </xf>
    <xf numFmtId="0" fontId="29" fillId="0" borderId="4" xfId="0" applyFont="1" applyBorder="1" applyAlignment="1">
      <alignment vertical="center" shrinkToFit="1"/>
    </xf>
    <xf numFmtId="0" fontId="29" fillId="0" borderId="5" xfId="0" applyFont="1" applyBorder="1" applyAlignment="1">
      <alignment vertical="center" shrinkToFit="1"/>
    </xf>
    <xf numFmtId="0" fontId="29" fillId="0" borderId="3"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5" xfId="0" applyFont="1" applyBorder="1" applyAlignment="1">
      <alignment horizontal="center" vertical="center" shrinkToFit="1"/>
    </xf>
    <xf numFmtId="38" fontId="29" fillId="0" borderId="3" xfId="9" quotePrefix="1" applyFont="1" applyBorder="1">
      <alignment vertical="center"/>
    </xf>
    <xf numFmtId="38" fontId="29" fillId="0" borderId="4" xfId="9" applyFont="1" applyBorder="1">
      <alignment vertical="center"/>
    </xf>
    <xf numFmtId="38" fontId="29" fillId="0" borderId="5" xfId="9" applyFont="1" applyBorder="1">
      <alignment vertical="center"/>
    </xf>
    <xf numFmtId="38" fontId="29" fillId="0" borderId="3" xfId="9" quotePrefix="1" applyFont="1" applyBorder="1" applyAlignment="1">
      <alignment vertical="center"/>
    </xf>
    <xf numFmtId="38" fontId="29" fillId="0" borderId="4" xfId="9" applyFont="1" applyBorder="1" applyAlignment="1">
      <alignment vertical="center"/>
    </xf>
    <xf numFmtId="38" fontId="29" fillId="0" borderId="5" xfId="9" applyFont="1" applyBorder="1" applyAlignment="1">
      <alignment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6" xfId="0" applyFont="1" applyBorder="1" applyAlignment="1">
      <alignment horizontal="center" vertical="center"/>
    </xf>
    <xf numFmtId="38" fontId="29" fillId="0" borderId="12" xfId="9" quotePrefix="1" applyFont="1" applyBorder="1">
      <alignment vertical="center"/>
    </xf>
    <xf numFmtId="38" fontId="29" fillId="0" borderId="13" xfId="9" applyFont="1" applyBorder="1">
      <alignment vertical="center"/>
    </xf>
    <xf numFmtId="38" fontId="29" fillId="0" borderId="14" xfId="9" applyFont="1" applyBorder="1">
      <alignment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1" xfId="0" applyFont="1" applyBorder="1" applyAlignment="1">
      <alignment horizontal="center" vertical="center"/>
    </xf>
    <xf numFmtId="38" fontId="29" fillId="0" borderId="8" xfId="9" quotePrefix="1" applyFont="1" applyBorder="1">
      <alignment vertical="center"/>
    </xf>
    <xf numFmtId="38" fontId="29" fillId="0" borderId="9" xfId="9" applyFont="1" applyBorder="1">
      <alignment vertical="center"/>
    </xf>
    <xf numFmtId="38" fontId="29" fillId="0" borderId="10" xfId="9" applyFont="1" applyBorder="1">
      <alignment vertical="center"/>
    </xf>
    <xf numFmtId="0" fontId="29" fillId="0" borderId="40" xfId="0" applyFont="1" applyBorder="1" applyAlignment="1">
      <alignment horizontal="center" vertical="center"/>
    </xf>
    <xf numFmtId="0" fontId="29" fillId="0" borderId="38" xfId="0" applyFont="1" applyBorder="1" applyAlignment="1">
      <alignment horizontal="center" vertical="center"/>
    </xf>
    <xf numFmtId="0" fontId="29" fillId="0" borderId="41" xfId="0" applyFont="1" applyBorder="1" applyAlignment="1">
      <alignment horizontal="center" vertical="center"/>
    </xf>
    <xf numFmtId="38" fontId="29" fillId="0" borderId="40" xfId="9" quotePrefix="1" applyFont="1" applyBorder="1">
      <alignment vertical="center"/>
    </xf>
    <xf numFmtId="38" fontId="29" fillId="0" borderId="38" xfId="9" applyFont="1" applyBorder="1">
      <alignment vertical="center"/>
    </xf>
    <xf numFmtId="38" fontId="29" fillId="0" borderId="19" xfId="9" applyFont="1" applyBorder="1">
      <alignment vertical="center"/>
    </xf>
    <xf numFmtId="38" fontId="29" fillId="0" borderId="3" xfId="9" applyFont="1" applyBorder="1" applyAlignment="1">
      <alignment vertical="center" shrinkToFit="1"/>
    </xf>
    <xf numFmtId="38" fontId="29" fillId="0" borderId="3" xfId="9" applyFont="1" applyBorder="1">
      <alignment vertical="center"/>
    </xf>
    <xf numFmtId="38" fontId="29" fillId="0" borderId="3" xfId="9" applyFont="1" applyBorder="1" applyAlignment="1">
      <alignment vertical="center"/>
    </xf>
    <xf numFmtId="0" fontId="29" fillId="4" borderId="8" xfId="0" applyFont="1" applyFill="1" applyBorder="1" applyAlignment="1">
      <alignment horizontal="center" vertical="center"/>
    </xf>
    <xf numFmtId="0" fontId="29" fillId="4" borderId="9" xfId="0" applyFont="1" applyFill="1" applyBorder="1" applyAlignment="1">
      <alignment horizontal="center" vertical="center"/>
    </xf>
    <xf numFmtId="0" fontId="29" fillId="4" borderId="11" xfId="0" applyFont="1" applyFill="1" applyBorder="1" applyAlignment="1">
      <alignment horizontal="center" vertical="center"/>
    </xf>
    <xf numFmtId="0" fontId="29" fillId="0" borderId="0" xfId="6" applyFont="1" applyBorder="1" applyAlignment="1">
      <alignment horizontal="distributed"/>
    </xf>
    <xf numFmtId="0" fontId="29" fillId="0" borderId="38" xfId="6" applyFont="1" applyBorder="1" applyAlignment="1">
      <alignment horizontal="left"/>
    </xf>
    <xf numFmtId="0" fontId="29" fillId="0" borderId="0" xfId="6" applyFont="1" applyAlignment="1">
      <alignment horizontal="distributed"/>
    </xf>
    <xf numFmtId="0" fontId="31" fillId="5" borderId="35" xfId="6" applyFont="1" applyFill="1" applyBorder="1" applyAlignment="1">
      <alignment horizontal="distributed" vertical="center" indent="1"/>
    </xf>
    <xf numFmtId="0" fontId="31" fillId="5" borderId="36" xfId="6" applyFont="1" applyFill="1" applyBorder="1" applyAlignment="1">
      <alignment horizontal="distributed" vertical="center" indent="1"/>
    </xf>
    <xf numFmtId="0" fontId="31" fillId="5" borderId="37" xfId="6" applyFont="1" applyFill="1" applyBorder="1" applyAlignment="1">
      <alignment horizontal="distributed" vertical="center" indent="1"/>
    </xf>
    <xf numFmtId="0" fontId="29" fillId="0" borderId="24" xfId="0" applyFont="1" applyBorder="1" applyAlignment="1">
      <alignment horizontal="center" vertical="center" shrinkToFit="1"/>
    </xf>
    <xf numFmtId="0" fontId="29" fillId="0" borderId="25" xfId="0" applyFont="1" applyBorder="1" applyAlignment="1">
      <alignment horizontal="center" vertical="center" shrinkToFit="1"/>
    </xf>
    <xf numFmtId="0" fontId="29" fillId="0" borderId="26" xfId="0" applyFont="1" applyBorder="1" applyAlignment="1">
      <alignment horizontal="center" vertical="center" shrinkToFit="1"/>
    </xf>
    <xf numFmtId="0" fontId="29" fillId="0" borderId="27"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22" xfId="0" applyFont="1" applyBorder="1" applyAlignment="1">
      <alignment horizontal="center" vertical="center" shrinkToFit="1"/>
    </xf>
    <xf numFmtId="0" fontId="29" fillId="0" borderId="28"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28"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6" fillId="0" borderId="28" xfId="3" applyFont="1" applyBorder="1" applyAlignment="1" applyProtection="1">
      <alignment horizontal="center" vertical="center" wrapText="1" shrinkToFit="1"/>
    </xf>
    <xf numFmtId="0" fontId="36" fillId="0" borderId="25" xfId="3" applyFont="1" applyBorder="1" applyAlignment="1" applyProtection="1">
      <alignment horizontal="center" vertical="center" wrapText="1" shrinkToFit="1"/>
    </xf>
    <xf numFmtId="0" fontId="36" fillId="0" borderId="26" xfId="3" applyFont="1" applyBorder="1" applyAlignment="1" applyProtection="1">
      <alignment horizontal="center" vertical="center" wrapText="1" shrinkToFit="1"/>
    </xf>
    <xf numFmtId="0" fontId="36" fillId="0" borderId="20" xfId="3" applyFont="1" applyBorder="1" applyAlignment="1" applyProtection="1">
      <alignment horizontal="center" vertical="center" wrapText="1" shrinkToFit="1"/>
    </xf>
    <xf numFmtId="0" fontId="36" fillId="0" borderId="21" xfId="3" applyFont="1" applyBorder="1" applyAlignment="1" applyProtection="1">
      <alignment horizontal="center" vertical="center" wrapText="1" shrinkToFit="1"/>
    </xf>
    <xf numFmtId="0" fontId="36" fillId="0" borderId="22" xfId="3" applyFont="1" applyBorder="1" applyAlignment="1" applyProtection="1">
      <alignment horizontal="center" vertical="center" wrapText="1" shrinkToFit="1"/>
    </xf>
    <xf numFmtId="0" fontId="29" fillId="0" borderId="29"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38" xfId="2" applyFont="1" applyBorder="1" applyAlignment="1" applyProtection="1">
      <alignment horizontal="left"/>
    </xf>
    <xf numFmtId="0" fontId="34" fillId="0" borderId="0" xfId="6" applyFont="1" applyBorder="1" applyAlignment="1"/>
    <xf numFmtId="0" fontId="34" fillId="0" borderId="0" xfId="6" applyFont="1" applyBorder="1" applyAlignment="1">
      <alignment horizontal="distributed"/>
    </xf>
    <xf numFmtId="0" fontId="34" fillId="0" borderId="0" xfId="6" applyFont="1" applyBorder="1" applyAlignment="1">
      <alignment horizontal="left" vertical="center"/>
    </xf>
    <xf numFmtId="0" fontId="29" fillId="0" borderId="38" xfId="6" applyFont="1" applyBorder="1" applyAlignment="1"/>
    <xf numFmtId="0" fontId="29" fillId="0" borderId="0" xfId="6" applyFont="1" applyBorder="1" applyAlignment="1">
      <alignment horizontal="distributed" wrapText="1"/>
    </xf>
    <xf numFmtId="38" fontId="29" fillId="0" borderId="38" xfId="9" applyFont="1" applyBorder="1" applyAlignment="1">
      <alignment horizontal="right"/>
    </xf>
    <xf numFmtId="0" fontId="33" fillId="0" borderId="0" xfId="2" applyFont="1" applyBorder="1" applyAlignment="1" applyProtection="1">
      <alignment horizontal="left" shrinkToFit="1"/>
    </xf>
    <xf numFmtId="0" fontId="33" fillId="0" borderId="7" xfId="2" applyFont="1" applyBorder="1" applyAlignment="1" applyProtection="1">
      <alignment horizontal="center"/>
    </xf>
    <xf numFmtId="0" fontId="33" fillId="0" borderId="7" xfId="2" applyFont="1" applyBorder="1" applyAlignment="1" applyProtection="1">
      <alignment horizontal="center" shrinkToFit="1"/>
    </xf>
    <xf numFmtId="0" fontId="29" fillId="0" borderId="7" xfId="6" applyFont="1" applyBorder="1" applyAlignment="1">
      <alignment horizontal="center" shrinkToFit="1"/>
    </xf>
    <xf numFmtId="0" fontId="29" fillId="0" borderId="0" xfId="6" applyFont="1" applyBorder="1" applyAlignment="1">
      <alignment horizontal="center" shrinkToFit="1"/>
    </xf>
    <xf numFmtId="14" fontId="33" fillId="0" borderId="38" xfId="2" applyNumberFormat="1" applyFont="1" applyBorder="1" applyAlignment="1" applyProtection="1">
      <alignment horizontal="left"/>
    </xf>
    <xf numFmtId="0" fontId="29" fillId="0" borderId="0" xfId="6" applyFont="1" applyBorder="1" applyAlignment="1">
      <alignment horizontal="distributed" shrinkToFit="1"/>
    </xf>
    <xf numFmtId="0" fontId="29" fillId="0" borderId="0" xfId="6" applyFont="1" applyBorder="1" applyAlignment="1">
      <alignment horizontal="right"/>
    </xf>
    <xf numFmtId="14" fontId="33" fillId="0" borderId="38" xfId="2" applyNumberFormat="1" applyFont="1" applyBorder="1" applyAlignment="1" applyProtection="1">
      <alignment horizontal="left" shrinkToFit="1"/>
    </xf>
    <xf numFmtId="0" fontId="33" fillId="0" borderId="38" xfId="2" applyNumberFormat="1" applyFont="1" applyBorder="1" applyAlignment="1" applyProtection="1">
      <alignment horizontal="left"/>
    </xf>
    <xf numFmtId="0" fontId="29" fillId="0" borderId="0" xfId="6" applyFont="1" applyBorder="1" applyAlignment="1">
      <alignment horizontal="left"/>
    </xf>
    <xf numFmtId="182" fontId="33" fillId="0" borderId="38" xfId="2" applyNumberFormat="1" applyFont="1" applyBorder="1" applyAlignment="1" applyProtection="1">
      <alignment horizontal="right"/>
    </xf>
    <xf numFmtId="0" fontId="33" fillId="0" borderId="38" xfId="2" quotePrefix="1" applyNumberFormat="1" applyFont="1" applyBorder="1" applyAlignment="1" applyProtection="1">
      <alignment horizontal="left"/>
    </xf>
    <xf numFmtId="0" fontId="28" fillId="0" borderId="0" xfId="6" applyFont="1" applyAlignment="1">
      <alignment horizontal="right" vertical="top"/>
    </xf>
    <xf numFmtId="0" fontId="29" fillId="0" borderId="0" xfId="6" applyFont="1" applyBorder="1" applyAlignment="1">
      <alignment horizontal="right" vertical="center"/>
    </xf>
    <xf numFmtId="0" fontId="17" fillId="0" borderId="0" xfId="6" applyFont="1" applyBorder="1" applyAlignment="1">
      <alignment horizontal="center" vertical="center"/>
    </xf>
    <xf numFmtId="0" fontId="29" fillId="0" borderId="0" xfId="6" applyFont="1" applyBorder="1" applyAlignment="1">
      <alignment vertical="center" wrapText="1"/>
    </xf>
    <xf numFmtId="0" fontId="32" fillId="0" borderId="0" xfId="2" quotePrefix="1" applyNumberFormat="1" applyFont="1" applyBorder="1" applyAlignment="1" applyProtection="1"/>
    <xf numFmtId="0" fontId="32" fillId="0" borderId="0" xfId="2" applyNumberFormat="1" applyFont="1" applyBorder="1" applyAlignment="1" applyProtection="1"/>
  </cellXfs>
  <cellStyles count="10">
    <cellStyle name="ハイパーリンク" xfId="1" builtinId="8"/>
    <cellStyle name="桁区切り" xfId="9" builtinId="6"/>
    <cellStyle name="桁区切り 2" xfId="5"/>
    <cellStyle name="桁区切り 3" xfId="8"/>
    <cellStyle name="標準" xfId="0" builtinId="0"/>
    <cellStyle name="標準 3 3" xfId="4"/>
    <cellStyle name="標準 5" xfId="3"/>
    <cellStyle name="標準 5 2" xfId="2"/>
    <cellStyle name="標準 5 2 2" xfId="7"/>
    <cellStyle name="標準 9" xfId="6"/>
  </cellStyles>
  <dxfs count="296">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FFE1FF"/>
      <color rgb="FFFFE1FC"/>
      <color rgb="FFEEAAFC"/>
      <color rgb="FFA6A6A6"/>
      <color rgb="FFCCEDFC"/>
      <color rgb="FFCCECFF"/>
      <color rgb="FFFF0000"/>
      <color rgb="FFE2EFDA"/>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50</xdr:col>
      <xdr:colOff>69747</xdr:colOff>
      <xdr:row>63</xdr:row>
      <xdr:rowOff>72904</xdr:rowOff>
    </xdr:from>
    <xdr:to>
      <xdr:col>52</xdr:col>
      <xdr:colOff>111485</xdr:colOff>
      <xdr:row>65</xdr:row>
      <xdr:rowOff>34045</xdr:rowOff>
    </xdr:to>
    <xdr:sp macro="" textlink="">
      <xdr:nvSpPr>
        <xdr:cNvPr id="2" name="テキスト ボックス 1">
          <a:extLst>
            <a:ext uri="{FF2B5EF4-FFF2-40B4-BE49-F238E27FC236}">
              <a16:creationId xmlns:a16="http://schemas.microsoft.com/office/drawing/2014/main" xmlns="" id="{F3ACA000-AB53-4D25-8754-90EC39E9459E}"/>
            </a:ext>
          </a:extLst>
        </xdr:cNvPr>
        <xdr:cNvSpPr txBox="1">
          <a:spLocks noChangeAspect="1"/>
        </xdr:cNvSpPr>
      </xdr:nvSpPr>
      <xdr:spPr>
        <a:xfrm>
          <a:off x="6260997" y="10436104"/>
          <a:ext cx="289388" cy="246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印</a:t>
          </a:r>
        </a:p>
      </xdr:txBody>
    </xdr:sp>
    <xdr:clientData/>
  </xdr:twoCellAnchor>
  <xdr:twoCellAnchor editAs="oneCell">
    <xdr:from>
      <xdr:col>50</xdr:col>
      <xdr:colOff>16241</xdr:colOff>
      <xdr:row>15</xdr:row>
      <xdr:rowOff>62945</xdr:rowOff>
    </xdr:from>
    <xdr:to>
      <xdr:col>52</xdr:col>
      <xdr:colOff>60361</xdr:colOff>
      <xdr:row>17</xdr:row>
      <xdr:rowOff>27488</xdr:rowOff>
    </xdr:to>
    <xdr:sp macro="" textlink="">
      <xdr:nvSpPr>
        <xdr:cNvPr id="3" name="テキスト ボックス 2">
          <a:extLst>
            <a:ext uri="{FF2B5EF4-FFF2-40B4-BE49-F238E27FC236}">
              <a16:creationId xmlns:a16="http://schemas.microsoft.com/office/drawing/2014/main" xmlns="" id="{B8C2E4F2-3718-48BA-82C2-AA725736AD76}"/>
            </a:ext>
          </a:extLst>
        </xdr:cNvPr>
        <xdr:cNvSpPr txBox="1">
          <a:spLocks noChangeAspect="1"/>
        </xdr:cNvSpPr>
      </xdr:nvSpPr>
      <xdr:spPr>
        <a:xfrm>
          <a:off x="6207491" y="2844245"/>
          <a:ext cx="291770" cy="250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9"/>
  <sheetViews>
    <sheetView workbookViewId="0"/>
  </sheetViews>
  <sheetFormatPr defaultRowHeight="11.25"/>
  <cols>
    <col min="1" max="1" width="10.25" style="2" customWidth="1"/>
    <col min="2" max="2" width="9" style="2"/>
    <col min="3" max="3" width="7.5" style="3" bestFit="1" customWidth="1"/>
    <col min="4" max="16384" width="9" style="2"/>
  </cols>
  <sheetData>
    <row r="1" spans="1:4">
      <c r="A1" s="2" t="s">
        <v>37</v>
      </c>
      <c r="C1" s="6" t="str">
        <f ca="1">IF(D2&gt;=0, OFFSET($C$2, D2, 0,1,1), "")</f>
        <v/>
      </c>
      <c r="D1" s="7" t="str">
        <f>LEFT(許可番号,2)</f>
        <v/>
      </c>
    </row>
    <row r="2" spans="1:4">
      <c r="A2" s="2" t="str">
        <f>P地区1</f>
        <v>市内</v>
      </c>
      <c r="C2" s="4" t="s">
        <v>38</v>
      </c>
      <c r="D2" s="7">
        <f>IF(ISERROR(D1+0), -1, D1+0)</f>
        <v>-1</v>
      </c>
    </row>
    <row r="3" spans="1:4">
      <c r="A3" s="2" t="s">
        <v>86</v>
      </c>
      <c r="C3" s="4" t="s">
        <v>39</v>
      </c>
    </row>
    <row r="4" spans="1:4">
      <c r="A4" s="2" t="s">
        <v>87</v>
      </c>
      <c r="C4" s="4" t="s">
        <v>40</v>
      </c>
    </row>
    <row r="5" spans="1:4">
      <c r="A5" s="2" t="e">
        <f>P地区4</f>
        <v>#NAME?</v>
      </c>
      <c r="C5" s="4" t="s">
        <v>41</v>
      </c>
    </row>
    <row r="6" spans="1:4">
      <c r="C6" s="4" t="s">
        <v>42</v>
      </c>
    </row>
    <row r="7" spans="1:4">
      <c r="C7" s="4" t="s">
        <v>43</v>
      </c>
    </row>
    <row r="8" spans="1:4">
      <c r="C8" s="4" t="s">
        <v>44</v>
      </c>
    </row>
    <row r="9" spans="1:4">
      <c r="C9" s="4" t="s">
        <v>45</v>
      </c>
    </row>
    <row r="10" spans="1:4">
      <c r="C10" s="4" t="s">
        <v>46</v>
      </c>
    </row>
    <row r="11" spans="1:4">
      <c r="C11" s="4" t="s">
        <v>47</v>
      </c>
    </row>
    <row r="12" spans="1:4">
      <c r="C12" s="4" t="s">
        <v>48</v>
      </c>
    </row>
    <row r="13" spans="1:4">
      <c r="C13" s="4" t="s">
        <v>49</v>
      </c>
    </row>
    <row r="14" spans="1:4">
      <c r="C14" s="4" t="s">
        <v>50</v>
      </c>
    </row>
    <row r="15" spans="1:4">
      <c r="C15" s="4" t="s">
        <v>51</v>
      </c>
    </row>
    <row r="16" spans="1:4">
      <c r="C16" s="4" t="s">
        <v>52</v>
      </c>
    </row>
    <row r="17" spans="3:3">
      <c r="C17" s="4" t="s">
        <v>53</v>
      </c>
    </row>
    <row r="18" spans="3:3">
      <c r="C18" s="4" t="s">
        <v>54</v>
      </c>
    </row>
    <row r="19" spans="3:3">
      <c r="C19" s="4" t="s">
        <v>55</v>
      </c>
    </row>
    <row r="20" spans="3:3">
      <c r="C20" s="4" t="s">
        <v>56</v>
      </c>
    </row>
    <row r="21" spans="3:3">
      <c r="C21" s="4" t="s">
        <v>57</v>
      </c>
    </row>
    <row r="22" spans="3:3">
      <c r="C22" s="4" t="s">
        <v>58</v>
      </c>
    </row>
    <row r="23" spans="3:3">
      <c r="C23" s="4" t="s">
        <v>59</v>
      </c>
    </row>
    <row r="24" spans="3:3">
      <c r="C24" s="4" t="s">
        <v>60</v>
      </c>
    </row>
    <row r="25" spans="3:3">
      <c r="C25" s="4" t="s">
        <v>61</v>
      </c>
    </row>
    <row r="26" spans="3:3">
      <c r="C26" s="4" t="s">
        <v>62</v>
      </c>
    </row>
    <row r="27" spans="3:3">
      <c r="C27" s="4" t="s">
        <v>63</v>
      </c>
    </row>
    <row r="28" spans="3:3">
      <c r="C28" s="4" t="s">
        <v>64</v>
      </c>
    </row>
    <row r="29" spans="3:3">
      <c r="C29" s="4" t="s">
        <v>65</v>
      </c>
    </row>
    <row r="30" spans="3:3">
      <c r="C30" s="4" t="s">
        <v>66</v>
      </c>
    </row>
    <row r="31" spans="3:3">
      <c r="C31" s="4" t="s">
        <v>67</v>
      </c>
    </row>
    <row r="32" spans="3:3">
      <c r="C32" s="4" t="s">
        <v>68</v>
      </c>
    </row>
    <row r="33" spans="3:3">
      <c r="C33" s="4" t="s">
        <v>69</v>
      </c>
    </row>
    <row r="34" spans="3:3">
      <c r="C34" s="4" t="s">
        <v>70</v>
      </c>
    </row>
    <row r="35" spans="3:3">
      <c r="C35" s="4" t="s">
        <v>71</v>
      </c>
    </row>
    <row r="36" spans="3:3">
      <c r="C36" s="4" t="s">
        <v>72</v>
      </c>
    </row>
    <row r="37" spans="3:3">
      <c r="C37" s="4" t="s">
        <v>73</v>
      </c>
    </row>
    <row r="38" spans="3:3">
      <c r="C38" s="4" t="s">
        <v>74</v>
      </c>
    </row>
    <row r="39" spans="3:3">
      <c r="C39" s="4" t="s">
        <v>75</v>
      </c>
    </row>
    <row r="40" spans="3:3">
      <c r="C40" s="4" t="s">
        <v>76</v>
      </c>
    </row>
    <row r="41" spans="3:3">
      <c r="C41" s="4" t="s">
        <v>77</v>
      </c>
    </row>
    <row r="42" spans="3:3">
      <c r="C42" s="4" t="s">
        <v>78</v>
      </c>
    </row>
    <row r="43" spans="3:3">
      <c r="C43" s="4" t="s">
        <v>79</v>
      </c>
    </row>
    <row r="44" spans="3:3">
      <c r="C44" s="4" t="s">
        <v>80</v>
      </c>
    </row>
    <row r="45" spans="3:3">
      <c r="C45" s="4" t="s">
        <v>81</v>
      </c>
    </row>
    <row r="46" spans="3:3">
      <c r="C46" s="4" t="s">
        <v>82</v>
      </c>
    </row>
    <row r="47" spans="3:3">
      <c r="C47" s="4" t="s">
        <v>83</v>
      </c>
    </row>
    <row r="48" spans="3:3">
      <c r="C48" s="4" t="s">
        <v>84</v>
      </c>
    </row>
    <row r="49" spans="3:3">
      <c r="C49" s="4" t="s">
        <v>85</v>
      </c>
    </row>
  </sheetData>
  <sheetProtection algorithmName="SHA-512" hashValue="3zuA4Dcq6M0Q9GS04RHbCUVDGvJc2wNaSBMhrH5wghHjB27wthpH/rQN7e7jAAer3oY6oX5kjMKvcoNNTPHbcA==" saltValue="OMbS8U8s/YAhJaPdxN+Shw==" spinCount="100000" sheet="1" objects="1" scenarios="1"/>
  <dataConsolidate/>
  <phoneticPr fontId="5"/>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E1FF"/>
    <outlinePr summaryBelow="0"/>
    <pageSetUpPr fitToPage="1"/>
  </sheetPr>
  <dimension ref="A1:Y187"/>
  <sheetViews>
    <sheetView showGridLines="0" topLeftCell="B1" zoomScaleNormal="100" workbookViewId="0">
      <selection activeCell="B1" sqref="B1"/>
    </sheetView>
  </sheetViews>
  <sheetFormatPr defaultRowHeight="13.5"/>
  <cols>
    <col min="1" max="1" width="70.375" style="116" hidden="1" customWidth="1"/>
    <col min="2" max="3" width="1.625" style="8" customWidth="1"/>
    <col min="4" max="4" width="4.625" style="8" customWidth="1"/>
    <col min="5" max="8" width="6.625" style="8" customWidth="1"/>
    <col min="9" max="11" width="3.625" style="8" customWidth="1"/>
    <col min="12" max="12" width="3.625" style="125" customWidth="1"/>
    <col min="13" max="23" width="6.625" style="8" customWidth="1"/>
    <col min="24" max="25" width="3.625" style="8" customWidth="1"/>
    <col min="26" max="204" width="9" style="1"/>
    <col min="205" max="205" width="2.125" style="1" customWidth="1"/>
    <col min="206" max="206" width="5.125" style="1" customWidth="1"/>
    <col min="207" max="207" width="40.875" style="1" customWidth="1"/>
    <col min="208" max="263" width="2.125" style="1" customWidth="1"/>
    <col min="264" max="460" width="9" style="1"/>
    <col min="461" max="461" width="2.125" style="1" customWidth="1"/>
    <col min="462" max="462" width="5.125" style="1" customWidth="1"/>
    <col min="463" max="463" width="40.875" style="1" customWidth="1"/>
    <col min="464" max="519" width="2.125" style="1" customWidth="1"/>
    <col min="520" max="716" width="9" style="1"/>
    <col min="717" max="717" width="2.125" style="1" customWidth="1"/>
    <col min="718" max="718" width="5.125" style="1" customWidth="1"/>
    <col min="719" max="719" width="40.875" style="1" customWidth="1"/>
    <col min="720" max="775" width="2.125" style="1" customWidth="1"/>
    <col min="776" max="972" width="9" style="1"/>
    <col min="973" max="973" width="2.125" style="1" customWidth="1"/>
    <col min="974" max="974" width="5.125" style="1" customWidth="1"/>
    <col min="975" max="975" width="40.875" style="1" customWidth="1"/>
    <col min="976" max="1031" width="2.125" style="1" customWidth="1"/>
    <col min="1032" max="1228" width="9" style="1"/>
    <col min="1229" max="1229" width="2.125" style="1" customWidth="1"/>
    <col min="1230" max="1230" width="5.125" style="1" customWidth="1"/>
    <col min="1231" max="1231" width="40.875" style="1" customWidth="1"/>
    <col min="1232" max="1287" width="2.125" style="1" customWidth="1"/>
    <col min="1288" max="1484" width="9" style="1"/>
    <col min="1485" max="1485" width="2.125" style="1" customWidth="1"/>
    <col min="1486" max="1486" width="5.125" style="1" customWidth="1"/>
    <col min="1487" max="1487" width="40.875" style="1" customWidth="1"/>
    <col min="1488" max="1543" width="2.125" style="1" customWidth="1"/>
    <col min="1544" max="1740" width="9" style="1"/>
    <col min="1741" max="1741" width="2.125" style="1" customWidth="1"/>
    <col min="1742" max="1742" width="5.125" style="1" customWidth="1"/>
    <col min="1743" max="1743" width="40.875" style="1" customWidth="1"/>
    <col min="1744" max="1799" width="2.125" style="1" customWidth="1"/>
    <col min="1800" max="1996" width="9" style="1"/>
    <col min="1997" max="1997" width="2.125" style="1" customWidth="1"/>
    <col min="1998" max="1998" width="5.125" style="1" customWidth="1"/>
    <col min="1999" max="1999" width="40.875" style="1" customWidth="1"/>
    <col min="2000" max="2055" width="2.125" style="1" customWidth="1"/>
    <col min="2056" max="2252" width="9" style="1"/>
    <col min="2253" max="2253" width="2.125" style="1" customWidth="1"/>
    <col min="2254" max="2254" width="5.125" style="1" customWidth="1"/>
    <col min="2255" max="2255" width="40.875" style="1" customWidth="1"/>
    <col min="2256" max="2311" width="2.125" style="1" customWidth="1"/>
    <col min="2312" max="2508" width="9" style="1"/>
    <col min="2509" max="2509" width="2.125" style="1" customWidth="1"/>
    <col min="2510" max="2510" width="5.125" style="1" customWidth="1"/>
    <col min="2511" max="2511" width="40.875" style="1" customWidth="1"/>
    <col min="2512" max="2567" width="2.125" style="1" customWidth="1"/>
    <col min="2568" max="2764" width="9" style="1"/>
    <col min="2765" max="2765" width="2.125" style="1" customWidth="1"/>
    <col min="2766" max="2766" width="5.125" style="1" customWidth="1"/>
    <col min="2767" max="2767" width="40.875" style="1" customWidth="1"/>
    <col min="2768" max="2823" width="2.125" style="1" customWidth="1"/>
    <col min="2824" max="3020" width="9" style="1"/>
    <col min="3021" max="3021" width="2.125" style="1" customWidth="1"/>
    <col min="3022" max="3022" width="5.125" style="1" customWidth="1"/>
    <col min="3023" max="3023" width="40.875" style="1" customWidth="1"/>
    <col min="3024" max="3079" width="2.125" style="1" customWidth="1"/>
    <col min="3080" max="3276" width="9" style="1"/>
    <col min="3277" max="3277" width="2.125" style="1" customWidth="1"/>
    <col min="3278" max="3278" width="5.125" style="1" customWidth="1"/>
    <col min="3279" max="3279" width="40.875" style="1" customWidth="1"/>
    <col min="3280" max="3335" width="2.125" style="1" customWidth="1"/>
    <col min="3336" max="3532" width="9" style="1"/>
    <col min="3533" max="3533" width="2.125" style="1" customWidth="1"/>
    <col min="3534" max="3534" width="5.125" style="1" customWidth="1"/>
    <col min="3535" max="3535" width="40.875" style="1" customWidth="1"/>
    <col min="3536" max="3591" width="2.125" style="1" customWidth="1"/>
    <col min="3592" max="3788" width="9" style="1"/>
    <col min="3789" max="3789" width="2.125" style="1" customWidth="1"/>
    <col min="3790" max="3790" width="5.125" style="1" customWidth="1"/>
    <col min="3791" max="3791" width="40.875" style="1" customWidth="1"/>
    <col min="3792" max="3847" width="2.125" style="1" customWidth="1"/>
    <col min="3848" max="4044" width="9" style="1"/>
    <col min="4045" max="4045" width="2.125" style="1" customWidth="1"/>
    <col min="4046" max="4046" width="5.125" style="1" customWidth="1"/>
    <col min="4047" max="4047" width="40.875" style="1" customWidth="1"/>
    <col min="4048" max="4103" width="2.125" style="1" customWidth="1"/>
    <col min="4104" max="4300" width="9" style="1"/>
    <col min="4301" max="4301" width="2.125" style="1" customWidth="1"/>
    <col min="4302" max="4302" width="5.125" style="1" customWidth="1"/>
    <col min="4303" max="4303" width="40.875" style="1" customWidth="1"/>
    <col min="4304" max="4359" width="2.125" style="1" customWidth="1"/>
    <col min="4360" max="4556" width="9" style="1"/>
    <col min="4557" max="4557" width="2.125" style="1" customWidth="1"/>
    <col min="4558" max="4558" width="5.125" style="1" customWidth="1"/>
    <col min="4559" max="4559" width="40.875" style="1" customWidth="1"/>
    <col min="4560" max="4615" width="2.125" style="1" customWidth="1"/>
    <col min="4616" max="4812" width="9" style="1"/>
    <col min="4813" max="4813" width="2.125" style="1" customWidth="1"/>
    <col min="4814" max="4814" width="5.125" style="1" customWidth="1"/>
    <col min="4815" max="4815" width="40.875" style="1" customWidth="1"/>
    <col min="4816" max="4871" width="2.125" style="1" customWidth="1"/>
    <col min="4872" max="5068" width="9" style="1"/>
    <col min="5069" max="5069" width="2.125" style="1" customWidth="1"/>
    <col min="5070" max="5070" width="5.125" style="1" customWidth="1"/>
    <col min="5071" max="5071" width="40.875" style="1" customWidth="1"/>
    <col min="5072" max="5127" width="2.125" style="1" customWidth="1"/>
    <col min="5128" max="5324" width="9" style="1"/>
    <col min="5325" max="5325" width="2.125" style="1" customWidth="1"/>
    <col min="5326" max="5326" width="5.125" style="1" customWidth="1"/>
    <col min="5327" max="5327" width="40.875" style="1" customWidth="1"/>
    <col min="5328" max="5383" width="2.125" style="1" customWidth="1"/>
    <col min="5384" max="5580" width="9" style="1"/>
    <col min="5581" max="5581" width="2.125" style="1" customWidth="1"/>
    <col min="5582" max="5582" width="5.125" style="1" customWidth="1"/>
    <col min="5583" max="5583" width="40.875" style="1" customWidth="1"/>
    <col min="5584" max="5639" width="2.125" style="1" customWidth="1"/>
    <col min="5640" max="5836" width="9" style="1"/>
    <col min="5837" max="5837" width="2.125" style="1" customWidth="1"/>
    <col min="5838" max="5838" width="5.125" style="1" customWidth="1"/>
    <col min="5839" max="5839" width="40.875" style="1" customWidth="1"/>
    <col min="5840" max="5895" width="2.125" style="1" customWidth="1"/>
    <col min="5896" max="6092" width="9" style="1"/>
    <col min="6093" max="6093" width="2.125" style="1" customWidth="1"/>
    <col min="6094" max="6094" width="5.125" style="1" customWidth="1"/>
    <col min="6095" max="6095" width="40.875" style="1" customWidth="1"/>
    <col min="6096" max="6151" width="2.125" style="1" customWidth="1"/>
    <col min="6152" max="6348" width="9" style="1"/>
    <col min="6349" max="6349" width="2.125" style="1" customWidth="1"/>
    <col min="6350" max="6350" width="5.125" style="1" customWidth="1"/>
    <col min="6351" max="6351" width="40.875" style="1" customWidth="1"/>
    <col min="6352" max="6407" width="2.125" style="1" customWidth="1"/>
    <col min="6408" max="6604" width="9" style="1"/>
    <col min="6605" max="6605" width="2.125" style="1" customWidth="1"/>
    <col min="6606" max="6606" width="5.125" style="1" customWidth="1"/>
    <col min="6607" max="6607" width="40.875" style="1" customWidth="1"/>
    <col min="6608" max="6663" width="2.125" style="1" customWidth="1"/>
    <col min="6664" max="6860" width="9" style="1"/>
    <col min="6861" max="6861" width="2.125" style="1" customWidth="1"/>
    <col min="6862" max="6862" width="5.125" style="1" customWidth="1"/>
    <col min="6863" max="6863" width="40.875" style="1" customWidth="1"/>
    <col min="6864" max="6919" width="2.125" style="1" customWidth="1"/>
    <col min="6920" max="7116" width="9" style="1"/>
    <col min="7117" max="7117" width="2.125" style="1" customWidth="1"/>
    <col min="7118" max="7118" width="5.125" style="1" customWidth="1"/>
    <col min="7119" max="7119" width="40.875" style="1" customWidth="1"/>
    <col min="7120" max="7175" width="2.125" style="1" customWidth="1"/>
    <col min="7176" max="7372" width="9" style="1"/>
    <col min="7373" max="7373" width="2.125" style="1" customWidth="1"/>
    <col min="7374" max="7374" width="5.125" style="1" customWidth="1"/>
    <col min="7375" max="7375" width="40.875" style="1" customWidth="1"/>
    <col min="7376" max="7431" width="2.125" style="1" customWidth="1"/>
    <col min="7432" max="7628" width="9" style="1"/>
    <col min="7629" max="7629" width="2.125" style="1" customWidth="1"/>
    <col min="7630" max="7630" width="5.125" style="1" customWidth="1"/>
    <col min="7631" max="7631" width="40.875" style="1" customWidth="1"/>
    <col min="7632" max="7687" width="2.125" style="1" customWidth="1"/>
    <col min="7688" max="7884" width="9" style="1"/>
    <col min="7885" max="7885" width="2.125" style="1" customWidth="1"/>
    <col min="7886" max="7886" width="5.125" style="1" customWidth="1"/>
    <col min="7887" max="7887" width="40.875" style="1" customWidth="1"/>
    <col min="7888" max="7943" width="2.125" style="1" customWidth="1"/>
    <col min="7944" max="8140" width="9" style="1"/>
    <col min="8141" max="8141" width="2.125" style="1" customWidth="1"/>
    <col min="8142" max="8142" width="5.125" style="1" customWidth="1"/>
    <col min="8143" max="8143" width="40.875" style="1" customWidth="1"/>
    <col min="8144" max="8199" width="2.125" style="1" customWidth="1"/>
    <col min="8200" max="8396" width="9" style="1"/>
    <col min="8397" max="8397" width="2.125" style="1" customWidth="1"/>
    <col min="8398" max="8398" width="5.125" style="1" customWidth="1"/>
    <col min="8399" max="8399" width="40.875" style="1" customWidth="1"/>
    <col min="8400" max="8455" width="2.125" style="1" customWidth="1"/>
    <col min="8456" max="8652" width="9" style="1"/>
    <col min="8653" max="8653" width="2.125" style="1" customWidth="1"/>
    <col min="8654" max="8654" width="5.125" style="1" customWidth="1"/>
    <col min="8655" max="8655" width="40.875" style="1" customWidth="1"/>
    <col min="8656" max="8711" width="2.125" style="1" customWidth="1"/>
    <col min="8712" max="8908" width="9" style="1"/>
    <col min="8909" max="8909" width="2.125" style="1" customWidth="1"/>
    <col min="8910" max="8910" width="5.125" style="1" customWidth="1"/>
    <col min="8911" max="8911" width="40.875" style="1" customWidth="1"/>
    <col min="8912" max="8967" width="2.125" style="1" customWidth="1"/>
    <col min="8968" max="9164" width="9" style="1"/>
    <col min="9165" max="9165" width="2.125" style="1" customWidth="1"/>
    <col min="9166" max="9166" width="5.125" style="1" customWidth="1"/>
    <col min="9167" max="9167" width="40.875" style="1" customWidth="1"/>
    <col min="9168" max="9223" width="2.125" style="1" customWidth="1"/>
    <col min="9224" max="9420" width="9" style="1"/>
    <col min="9421" max="9421" width="2.125" style="1" customWidth="1"/>
    <col min="9422" max="9422" width="5.125" style="1" customWidth="1"/>
    <col min="9423" max="9423" width="40.875" style="1" customWidth="1"/>
    <col min="9424" max="9479" width="2.125" style="1" customWidth="1"/>
    <col min="9480" max="9676" width="9" style="1"/>
    <col min="9677" max="9677" width="2.125" style="1" customWidth="1"/>
    <col min="9678" max="9678" width="5.125" style="1" customWidth="1"/>
    <col min="9679" max="9679" width="40.875" style="1" customWidth="1"/>
    <col min="9680" max="9735" width="2.125" style="1" customWidth="1"/>
    <col min="9736" max="9932" width="9" style="1"/>
    <col min="9933" max="9933" width="2.125" style="1" customWidth="1"/>
    <col min="9934" max="9934" width="5.125" style="1" customWidth="1"/>
    <col min="9935" max="9935" width="40.875" style="1" customWidth="1"/>
    <col min="9936" max="9991" width="2.125" style="1" customWidth="1"/>
    <col min="9992" max="10188" width="9" style="1"/>
    <col min="10189" max="10189" width="2.125" style="1" customWidth="1"/>
    <col min="10190" max="10190" width="5.125" style="1" customWidth="1"/>
    <col min="10191" max="10191" width="40.875" style="1" customWidth="1"/>
    <col min="10192" max="10247" width="2.125" style="1" customWidth="1"/>
    <col min="10248" max="10444" width="9" style="1"/>
    <col min="10445" max="10445" width="2.125" style="1" customWidth="1"/>
    <col min="10446" max="10446" width="5.125" style="1" customWidth="1"/>
    <col min="10447" max="10447" width="40.875" style="1" customWidth="1"/>
    <col min="10448" max="10503" width="2.125" style="1" customWidth="1"/>
    <col min="10504" max="10700" width="9" style="1"/>
    <col min="10701" max="10701" width="2.125" style="1" customWidth="1"/>
    <col min="10702" max="10702" width="5.125" style="1" customWidth="1"/>
    <col min="10703" max="10703" width="40.875" style="1" customWidth="1"/>
    <col min="10704" max="10759" width="2.125" style="1" customWidth="1"/>
    <col min="10760" max="10956" width="9" style="1"/>
    <col min="10957" max="10957" width="2.125" style="1" customWidth="1"/>
    <col min="10958" max="10958" width="5.125" style="1" customWidth="1"/>
    <col min="10959" max="10959" width="40.875" style="1" customWidth="1"/>
    <col min="10960" max="11015" width="2.125" style="1" customWidth="1"/>
    <col min="11016" max="11212" width="9" style="1"/>
    <col min="11213" max="11213" width="2.125" style="1" customWidth="1"/>
    <col min="11214" max="11214" width="5.125" style="1" customWidth="1"/>
    <col min="11215" max="11215" width="40.875" style="1" customWidth="1"/>
    <col min="11216" max="11271" width="2.125" style="1" customWidth="1"/>
    <col min="11272" max="11468" width="9" style="1"/>
    <col min="11469" max="11469" width="2.125" style="1" customWidth="1"/>
    <col min="11470" max="11470" width="5.125" style="1" customWidth="1"/>
    <col min="11471" max="11471" width="40.875" style="1" customWidth="1"/>
    <col min="11472" max="11527" width="2.125" style="1" customWidth="1"/>
    <col min="11528" max="11724" width="9" style="1"/>
    <col min="11725" max="11725" width="2.125" style="1" customWidth="1"/>
    <col min="11726" max="11726" width="5.125" style="1" customWidth="1"/>
    <col min="11727" max="11727" width="40.875" style="1" customWidth="1"/>
    <col min="11728" max="11783" width="2.125" style="1" customWidth="1"/>
    <col min="11784" max="11980" width="9" style="1"/>
    <col min="11981" max="11981" width="2.125" style="1" customWidth="1"/>
    <col min="11982" max="11982" width="5.125" style="1" customWidth="1"/>
    <col min="11983" max="11983" width="40.875" style="1" customWidth="1"/>
    <col min="11984" max="12039" width="2.125" style="1" customWidth="1"/>
    <col min="12040" max="12236" width="9" style="1"/>
    <col min="12237" max="12237" width="2.125" style="1" customWidth="1"/>
    <col min="12238" max="12238" width="5.125" style="1" customWidth="1"/>
    <col min="12239" max="12239" width="40.875" style="1" customWidth="1"/>
    <col min="12240" max="12295" width="2.125" style="1" customWidth="1"/>
    <col min="12296" max="12492" width="9" style="1"/>
    <col min="12493" max="12493" width="2.125" style="1" customWidth="1"/>
    <col min="12494" max="12494" width="5.125" style="1" customWidth="1"/>
    <col min="12495" max="12495" width="40.875" style="1" customWidth="1"/>
    <col min="12496" max="12551" width="2.125" style="1" customWidth="1"/>
    <col min="12552" max="12748" width="9" style="1"/>
    <col min="12749" max="12749" width="2.125" style="1" customWidth="1"/>
    <col min="12750" max="12750" width="5.125" style="1" customWidth="1"/>
    <col min="12751" max="12751" width="40.875" style="1" customWidth="1"/>
    <col min="12752" max="12807" width="2.125" style="1" customWidth="1"/>
    <col min="12808" max="13004" width="9" style="1"/>
    <col min="13005" max="13005" width="2.125" style="1" customWidth="1"/>
    <col min="13006" max="13006" width="5.125" style="1" customWidth="1"/>
    <col min="13007" max="13007" width="40.875" style="1" customWidth="1"/>
    <col min="13008" max="13063" width="2.125" style="1" customWidth="1"/>
    <col min="13064" max="13260" width="9" style="1"/>
    <col min="13261" max="13261" width="2.125" style="1" customWidth="1"/>
    <col min="13262" max="13262" width="5.125" style="1" customWidth="1"/>
    <col min="13263" max="13263" width="40.875" style="1" customWidth="1"/>
    <col min="13264" max="13319" width="2.125" style="1" customWidth="1"/>
    <col min="13320" max="13516" width="9" style="1"/>
    <col min="13517" max="13517" width="2.125" style="1" customWidth="1"/>
    <col min="13518" max="13518" width="5.125" style="1" customWidth="1"/>
    <col min="13519" max="13519" width="40.875" style="1" customWidth="1"/>
    <col min="13520" max="13575" width="2.125" style="1" customWidth="1"/>
    <col min="13576" max="13772" width="9" style="1"/>
    <col min="13773" max="13773" width="2.125" style="1" customWidth="1"/>
    <col min="13774" max="13774" width="5.125" style="1" customWidth="1"/>
    <col min="13775" max="13775" width="40.875" style="1" customWidth="1"/>
    <col min="13776" max="13831" width="2.125" style="1" customWidth="1"/>
    <col min="13832" max="14028" width="9" style="1"/>
    <col min="14029" max="14029" width="2.125" style="1" customWidth="1"/>
    <col min="14030" max="14030" width="5.125" style="1" customWidth="1"/>
    <col min="14031" max="14031" width="40.875" style="1" customWidth="1"/>
    <col min="14032" max="14087" width="2.125" style="1" customWidth="1"/>
    <col min="14088" max="14284" width="9" style="1"/>
    <col min="14285" max="14285" width="2.125" style="1" customWidth="1"/>
    <col min="14286" max="14286" width="5.125" style="1" customWidth="1"/>
    <col min="14287" max="14287" width="40.875" style="1" customWidth="1"/>
    <col min="14288" max="14343" width="2.125" style="1" customWidth="1"/>
    <col min="14344" max="14540" width="9" style="1"/>
    <col min="14541" max="14541" width="2.125" style="1" customWidth="1"/>
    <col min="14542" max="14542" width="5.125" style="1" customWidth="1"/>
    <col min="14543" max="14543" width="40.875" style="1" customWidth="1"/>
    <col min="14544" max="14599" width="2.125" style="1" customWidth="1"/>
    <col min="14600" max="14796" width="9" style="1"/>
    <col min="14797" max="14797" width="2.125" style="1" customWidth="1"/>
    <col min="14798" max="14798" width="5.125" style="1" customWidth="1"/>
    <col min="14799" max="14799" width="40.875" style="1" customWidth="1"/>
    <col min="14800" max="14855" width="2.125" style="1" customWidth="1"/>
    <col min="14856" max="15052" width="9" style="1"/>
    <col min="15053" max="15053" width="2.125" style="1" customWidth="1"/>
    <col min="15054" max="15054" width="5.125" style="1" customWidth="1"/>
    <col min="15055" max="15055" width="40.875" style="1" customWidth="1"/>
    <col min="15056" max="15111" width="2.125" style="1" customWidth="1"/>
    <col min="15112" max="15308" width="9" style="1"/>
    <col min="15309" max="15309" width="2.125" style="1" customWidth="1"/>
    <col min="15310" max="15310" width="5.125" style="1" customWidth="1"/>
    <col min="15311" max="15311" width="40.875" style="1" customWidth="1"/>
    <col min="15312" max="15367" width="2.125" style="1" customWidth="1"/>
    <col min="15368" max="15564" width="9" style="1"/>
    <col min="15565" max="15565" width="2.125" style="1" customWidth="1"/>
    <col min="15566" max="15566" width="5.125" style="1" customWidth="1"/>
    <col min="15567" max="15567" width="40.875" style="1" customWidth="1"/>
    <col min="15568" max="15623" width="2.125" style="1" customWidth="1"/>
    <col min="15624" max="15820" width="9" style="1"/>
    <col min="15821" max="15821" width="2.125" style="1" customWidth="1"/>
    <col min="15822" max="15822" width="5.125" style="1" customWidth="1"/>
    <col min="15823" max="15823" width="40.875" style="1" customWidth="1"/>
    <col min="15824" max="15879" width="2.125" style="1" customWidth="1"/>
    <col min="15880" max="16076" width="9" style="1"/>
    <col min="16077" max="16077" width="2.125" style="1" customWidth="1"/>
    <col min="16078" max="16078" width="5.125" style="1" customWidth="1"/>
    <col min="16079" max="16079" width="40.875" style="1" customWidth="1"/>
    <col min="16080" max="16135" width="2.125" style="1" customWidth="1"/>
    <col min="16136" max="16384" width="9" style="1"/>
  </cols>
  <sheetData>
    <row r="1" spans="1:25" ht="30" customHeight="1">
      <c r="A1" s="113" t="str">
        <f>P市町村名</f>
        <v>さぬき市</v>
      </c>
      <c r="B1" s="10"/>
      <c r="C1" s="11" t="str">
        <f>P対象年度 &amp; " " &amp; P市町村名 &amp; P業種 &amp; " 入札参加申請書"</f>
        <v>平成31・32年度 さぬき市建設工事 入札参加申請書</v>
      </c>
      <c r="D1" s="11"/>
      <c r="E1" s="5"/>
      <c r="U1" s="127"/>
      <c r="V1" s="164">
        <v>43412</v>
      </c>
      <c r="W1" s="164"/>
      <c r="X1" s="41"/>
      <c r="Y1" s="41"/>
    </row>
    <row r="2" spans="1:25" ht="15" customHeight="1">
      <c r="A2" s="113" t="str">
        <f>P業種区分</f>
        <v>建設</v>
      </c>
      <c r="B2" s="10"/>
      <c r="C2" s="42"/>
      <c r="D2" s="42"/>
      <c r="Y2" s="43"/>
    </row>
    <row r="3" spans="1:25" ht="15" customHeight="1">
      <c r="A3" s="114" t="str">
        <f>Pver</f>
        <v>2019.01</v>
      </c>
      <c r="B3" s="9"/>
      <c r="C3" s="168" t="str">
        <f>P対象年度 &amp; " " &amp; P市町村名 &amp; " " &amp; P業種 &amp; "の申請に必要な項目を入力してください。"</f>
        <v>平成31・32年度 さぬき市 建設工事の申請に必要な項目を入力してください。</v>
      </c>
      <c r="D3" s="168"/>
      <c r="E3" s="168"/>
      <c r="F3" s="168"/>
      <c r="G3" s="168"/>
      <c r="H3" s="168"/>
      <c r="I3" s="168"/>
      <c r="J3" s="168"/>
      <c r="K3" s="168"/>
      <c r="L3" s="168"/>
      <c r="M3" s="168"/>
      <c r="N3" s="168"/>
      <c r="O3" s="168"/>
      <c r="P3" s="168"/>
      <c r="Q3" s="168"/>
      <c r="R3" s="168"/>
      <c r="S3" s="168"/>
      <c r="T3" s="168"/>
      <c r="U3" s="168"/>
      <c r="V3" s="168"/>
      <c r="W3" s="168"/>
      <c r="X3" s="168"/>
    </row>
    <row r="4" spans="1:25" ht="15" customHeight="1">
      <c r="A4" s="114"/>
      <c r="B4" s="9"/>
      <c r="C4" s="167" t="s">
        <v>89</v>
      </c>
      <c r="D4" s="167"/>
      <c r="E4" s="167"/>
      <c r="F4" s="167"/>
      <c r="G4" s="167"/>
      <c r="H4" s="167"/>
      <c r="I4" s="167"/>
      <c r="J4" s="167"/>
      <c r="K4" s="167"/>
      <c r="L4" s="167"/>
      <c r="M4" s="167"/>
      <c r="N4" s="167"/>
      <c r="O4" s="167"/>
      <c r="P4" s="167"/>
      <c r="Q4" s="167"/>
      <c r="R4" s="167"/>
      <c r="S4" s="167"/>
      <c r="T4" s="167"/>
      <c r="U4" s="167"/>
      <c r="V4" s="167"/>
      <c r="W4" s="167"/>
      <c r="X4" s="167"/>
    </row>
    <row r="5" spans="1:25" ht="15" customHeight="1">
      <c r="A5" s="114"/>
      <c r="B5" s="9"/>
      <c r="C5" s="167" t="s">
        <v>90</v>
      </c>
      <c r="D5" s="167"/>
      <c r="E5" s="167"/>
      <c r="F5" s="167"/>
      <c r="G5" s="167"/>
      <c r="H5" s="167"/>
      <c r="I5" s="167"/>
      <c r="J5" s="167"/>
      <c r="K5" s="167"/>
      <c r="L5" s="167"/>
      <c r="M5" s="167"/>
      <c r="N5" s="167"/>
      <c r="O5" s="167"/>
      <c r="P5" s="167"/>
      <c r="Q5" s="167"/>
      <c r="R5" s="167"/>
      <c r="S5" s="167"/>
      <c r="T5" s="167"/>
      <c r="U5" s="167"/>
      <c r="V5" s="167"/>
      <c r="W5" s="167"/>
      <c r="X5" s="167"/>
    </row>
    <row r="6" spans="1:25" ht="15" customHeight="1">
      <c r="A6" s="114"/>
      <c r="B6" s="9"/>
      <c r="C6" s="167" t="s">
        <v>91</v>
      </c>
      <c r="D6" s="167"/>
      <c r="E6" s="167"/>
      <c r="F6" s="167"/>
      <c r="G6" s="167"/>
      <c r="H6" s="167"/>
      <c r="I6" s="167"/>
      <c r="J6" s="167"/>
      <c r="K6" s="167"/>
      <c r="L6" s="167"/>
      <c r="M6" s="167"/>
      <c r="N6" s="167"/>
      <c r="O6" s="167"/>
      <c r="P6" s="167"/>
      <c r="Q6" s="167"/>
      <c r="R6" s="167"/>
      <c r="S6" s="167"/>
      <c r="T6" s="167"/>
      <c r="U6" s="167"/>
      <c r="V6" s="167"/>
      <c r="W6" s="167"/>
      <c r="X6" s="167"/>
    </row>
    <row r="7" spans="1:25" ht="15" customHeight="1">
      <c r="A7" s="114"/>
      <c r="B7" s="9"/>
      <c r="E7" s="5"/>
    </row>
    <row r="8" spans="1:25" ht="20.100000000000001" customHeight="1">
      <c r="A8" s="114"/>
      <c r="B8" s="9"/>
      <c r="C8" s="142" t="s">
        <v>100</v>
      </c>
      <c r="D8" s="143"/>
      <c r="E8" s="143"/>
      <c r="F8" s="143"/>
      <c r="G8" s="143"/>
      <c r="H8" s="144"/>
    </row>
    <row r="9" spans="1:25" ht="8.1" customHeight="1">
      <c r="A9" s="114"/>
      <c r="B9" s="9"/>
      <c r="C9" s="12"/>
      <c r="D9" s="13"/>
      <c r="E9" s="162"/>
      <c r="F9" s="162"/>
      <c r="G9" s="162"/>
      <c r="H9" s="162"/>
      <c r="I9" s="14"/>
      <c r="J9" s="14"/>
      <c r="K9" s="14"/>
      <c r="L9" s="14"/>
      <c r="M9" s="14"/>
      <c r="N9" s="14"/>
      <c r="O9" s="14"/>
      <c r="P9" s="14"/>
      <c r="Q9" s="14"/>
      <c r="R9" s="14"/>
      <c r="S9" s="14"/>
      <c r="T9" s="14"/>
      <c r="U9" s="14"/>
      <c r="V9" s="14"/>
      <c r="W9" s="14"/>
      <c r="X9" s="15"/>
    </row>
    <row r="10" spans="1:25" ht="20.100000000000001" customHeight="1">
      <c r="A10" s="114">
        <f>IF(ISBLANK(I10), 1, 0)</f>
        <v>1</v>
      </c>
      <c r="B10" s="9"/>
      <c r="C10" s="16"/>
      <c r="D10" s="17">
        <v>1</v>
      </c>
      <c r="E10" s="134" t="s">
        <v>92</v>
      </c>
      <c r="F10" s="134"/>
      <c r="G10" s="134"/>
      <c r="H10" s="134"/>
      <c r="I10" s="165"/>
      <c r="J10" s="165"/>
      <c r="K10" s="165"/>
      <c r="L10" s="165"/>
      <c r="M10" s="165"/>
      <c r="N10" s="132"/>
      <c r="O10" s="132"/>
      <c r="P10" s="132"/>
      <c r="Q10" s="132"/>
      <c r="R10" s="132"/>
      <c r="S10" s="132"/>
      <c r="T10" s="132"/>
      <c r="U10" s="132"/>
      <c r="V10" s="132"/>
      <c r="W10" s="132"/>
      <c r="X10" s="18"/>
    </row>
    <row r="11" spans="1:25" ht="20.100000000000001" customHeight="1">
      <c r="A11" s="114"/>
      <c r="B11" s="9"/>
      <c r="C11" s="16"/>
      <c r="D11" s="17"/>
      <c r="E11" s="134"/>
      <c r="F11" s="134"/>
      <c r="G11" s="134"/>
      <c r="H11" s="134"/>
      <c r="I11" s="44" t="s">
        <v>98</v>
      </c>
      <c r="J11" s="133" t="s">
        <v>218</v>
      </c>
      <c r="K11" s="133"/>
      <c r="L11" s="133"/>
      <c r="M11" s="133"/>
      <c r="N11" s="133"/>
      <c r="O11" s="133"/>
      <c r="P11" s="133"/>
      <c r="Q11" s="133"/>
      <c r="R11" s="133"/>
      <c r="S11" s="133"/>
      <c r="T11" s="133"/>
      <c r="U11" s="133"/>
      <c r="V11" s="133"/>
      <c r="W11" s="133"/>
      <c r="X11" s="18"/>
    </row>
    <row r="12" spans="1:25" ht="20.100000000000001" customHeight="1">
      <c r="A12" s="114">
        <f>IF(AND($I12&lt;&gt;"個人", $I12&lt;&gt;"法人"), 102, 0)</f>
        <v>102</v>
      </c>
      <c r="B12" s="9"/>
      <c r="C12" s="16"/>
      <c r="D12" s="17">
        <v>2</v>
      </c>
      <c r="E12" s="134" t="s">
        <v>93</v>
      </c>
      <c r="F12" s="134"/>
      <c r="G12" s="134"/>
      <c r="H12" s="134"/>
      <c r="I12" s="163"/>
      <c r="J12" s="163"/>
      <c r="K12" s="163"/>
      <c r="L12" s="163"/>
      <c r="M12" s="163"/>
      <c r="N12" s="132"/>
      <c r="O12" s="132"/>
      <c r="P12" s="132"/>
      <c r="Q12" s="132"/>
      <c r="R12" s="132"/>
      <c r="S12" s="132"/>
      <c r="T12" s="132"/>
      <c r="U12" s="132"/>
      <c r="V12" s="132"/>
      <c r="W12" s="132"/>
      <c r="X12" s="18"/>
    </row>
    <row r="13" spans="1:25" ht="20.100000000000001" customHeight="1">
      <c r="A13" s="114"/>
      <c r="B13" s="9"/>
      <c r="C13" s="16"/>
      <c r="D13" s="17"/>
      <c r="E13" s="134"/>
      <c r="F13" s="134"/>
      <c r="G13" s="134"/>
      <c r="H13" s="134"/>
      <c r="I13" s="44" t="s">
        <v>98</v>
      </c>
      <c r="J13" s="133" t="s">
        <v>97</v>
      </c>
      <c r="K13" s="133"/>
      <c r="L13" s="133"/>
      <c r="M13" s="133"/>
      <c r="N13" s="133"/>
      <c r="O13" s="133"/>
      <c r="P13" s="133"/>
      <c r="Q13" s="133"/>
      <c r="R13" s="133"/>
      <c r="S13" s="133"/>
      <c r="T13" s="133"/>
      <c r="U13" s="133"/>
      <c r="V13" s="133"/>
      <c r="W13" s="133"/>
      <c r="X13" s="18"/>
    </row>
    <row r="14" spans="1:25" ht="20.100000000000001" customHeight="1">
      <c r="A14" s="114">
        <f>IF(AND($I14&lt;&gt;"無", $I14&lt;&gt;"有"), 102, 0)</f>
        <v>102</v>
      </c>
      <c r="B14" s="9"/>
      <c r="C14" s="16"/>
      <c r="D14" s="17">
        <v>3</v>
      </c>
      <c r="E14" s="134" t="s">
        <v>94</v>
      </c>
      <c r="F14" s="134"/>
      <c r="G14" s="134"/>
      <c r="H14" s="134"/>
      <c r="I14" s="163"/>
      <c r="J14" s="163"/>
      <c r="K14" s="163"/>
      <c r="L14" s="163"/>
      <c r="M14" s="163"/>
      <c r="N14" s="132"/>
      <c r="O14" s="132"/>
      <c r="P14" s="132"/>
      <c r="Q14" s="132"/>
      <c r="R14" s="132"/>
      <c r="S14" s="132"/>
      <c r="T14" s="132"/>
      <c r="U14" s="132"/>
      <c r="V14" s="132"/>
      <c r="W14" s="132"/>
      <c r="X14" s="18"/>
    </row>
    <row r="15" spans="1:25" ht="20.100000000000001" customHeight="1">
      <c r="A15" s="114"/>
      <c r="B15" s="9"/>
      <c r="C15" s="16"/>
      <c r="D15" s="17"/>
      <c r="E15" s="134"/>
      <c r="F15" s="134"/>
      <c r="G15" s="134"/>
      <c r="H15" s="134"/>
      <c r="I15" s="44" t="s">
        <v>99</v>
      </c>
      <c r="J15" s="133" t="s">
        <v>102</v>
      </c>
      <c r="K15" s="133"/>
      <c r="L15" s="133"/>
      <c r="M15" s="133"/>
      <c r="N15" s="133"/>
      <c r="O15" s="133"/>
      <c r="P15" s="133"/>
      <c r="Q15" s="133"/>
      <c r="R15" s="133"/>
      <c r="S15" s="133"/>
      <c r="T15" s="133"/>
      <c r="U15" s="133"/>
      <c r="V15" s="133"/>
      <c r="W15" s="133"/>
      <c r="X15" s="18"/>
    </row>
    <row r="16" spans="1:25" ht="20.100000000000001" customHeight="1">
      <c r="A16" s="114">
        <f>IF(AND($I16&lt;&gt;"無", $I16&lt;&gt;"有"), 102, 0)</f>
        <v>102</v>
      </c>
      <c r="B16" s="9"/>
      <c r="C16" s="16"/>
      <c r="D16" s="17">
        <v>4</v>
      </c>
      <c r="E16" s="134" t="s">
        <v>95</v>
      </c>
      <c r="F16" s="134"/>
      <c r="G16" s="134"/>
      <c r="H16" s="134"/>
      <c r="I16" s="163"/>
      <c r="J16" s="163"/>
      <c r="K16" s="163"/>
      <c r="L16" s="163"/>
      <c r="M16" s="163"/>
      <c r="N16" s="132"/>
      <c r="O16" s="132"/>
      <c r="P16" s="132"/>
      <c r="Q16" s="132"/>
      <c r="R16" s="132"/>
      <c r="S16" s="132"/>
      <c r="T16" s="132"/>
      <c r="U16" s="132"/>
      <c r="V16" s="132"/>
      <c r="W16" s="132"/>
      <c r="X16" s="18"/>
    </row>
    <row r="17" spans="1:24" ht="20.100000000000001" customHeight="1">
      <c r="A17" s="114"/>
      <c r="B17" s="9"/>
      <c r="C17" s="19"/>
      <c r="D17" s="40"/>
      <c r="E17" s="134"/>
      <c r="F17" s="134"/>
      <c r="G17" s="134"/>
      <c r="H17" s="134"/>
      <c r="I17" s="44" t="s">
        <v>99</v>
      </c>
      <c r="J17" s="133" t="s">
        <v>111</v>
      </c>
      <c r="K17" s="133"/>
      <c r="L17" s="133"/>
      <c r="M17" s="133"/>
      <c r="N17" s="133"/>
      <c r="O17" s="133"/>
      <c r="P17" s="133"/>
      <c r="Q17" s="133"/>
      <c r="R17" s="133"/>
      <c r="S17" s="133"/>
      <c r="T17" s="133"/>
      <c r="U17" s="133"/>
      <c r="V17" s="133"/>
      <c r="W17" s="133"/>
      <c r="X17" s="18"/>
    </row>
    <row r="18" spans="1:24" ht="5.0999999999999996" customHeight="1">
      <c r="A18" s="114"/>
      <c r="B18" s="9"/>
      <c r="C18" s="20"/>
      <c r="D18" s="21"/>
      <c r="E18" s="166"/>
      <c r="F18" s="166"/>
      <c r="G18" s="166"/>
      <c r="H18" s="166"/>
      <c r="I18" s="21"/>
      <c r="J18" s="21"/>
      <c r="K18" s="21"/>
      <c r="L18" s="21"/>
      <c r="M18" s="21"/>
      <c r="N18" s="21"/>
      <c r="O18" s="21"/>
      <c r="P18" s="21"/>
      <c r="Q18" s="21"/>
      <c r="R18" s="21"/>
      <c r="S18" s="21"/>
      <c r="T18" s="21"/>
      <c r="U18" s="21"/>
      <c r="V18" s="21"/>
      <c r="W18" s="21"/>
      <c r="X18" s="22"/>
    </row>
    <row r="19" spans="1:24" ht="20.100000000000001" customHeight="1">
      <c r="A19" s="114"/>
      <c r="B19" s="9"/>
      <c r="E19" s="5"/>
    </row>
    <row r="20" spans="1:24" ht="20.100000000000001" customHeight="1">
      <c r="A20" s="114"/>
      <c r="B20" s="9"/>
      <c r="C20" s="142" t="s">
        <v>96</v>
      </c>
      <c r="D20" s="143"/>
      <c r="E20" s="143"/>
      <c r="F20" s="143"/>
      <c r="G20" s="143"/>
      <c r="H20" s="144"/>
    </row>
    <row r="21" spans="1:24" ht="8.1" customHeight="1">
      <c r="A21" s="114"/>
      <c r="B21" s="9"/>
      <c r="C21" s="12"/>
      <c r="D21" s="13"/>
      <c r="E21" s="162"/>
      <c r="F21" s="162"/>
      <c r="G21" s="162"/>
      <c r="H21" s="162"/>
      <c r="I21" s="14"/>
      <c r="J21" s="14"/>
      <c r="K21" s="14"/>
      <c r="L21" s="14"/>
      <c r="M21" s="14"/>
      <c r="N21" s="14"/>
      <c r="O21" s="14"/>
      <c r="P21" s="14"/>
      <c r="Q21" s="14"/>
      <c r="R21" s="14"/>
      <c r="S21" s="14"/>
      <c r="T21" s="14"/>
      <c r="U21" s="14"/>
      <c r="V21" s="14"/>
      <c r="W21" s="14"/>
      <c r="X21" s="15"/>
    </row>
    <row r="22" spans="1:24" ht="20.100000000000001" customHeight="1">
      <c r="A22" s="114">
        <f>IF(AND(I22&lt;&gt;"市内", I22&lt;&gt;"県内", I22&lt;&gt;"県外"), 102, 0)</f>
        <v>102</v>
      </c>
      <c r="B22" s="9"/>
      <c r="C22" s="16"/>
      <c r="D22" s="17">
        <v>1</v>
      </c>
      <c r="E22" s="130" t="s">
        <v>0</v>
      </c>
      <c r="F22" s="130"/>
      <c r="G22" s="130"/>
      <c r="H22" s="130"/>
      <c r="I22" s="163"/>
      <c r="J22" s="163"/>
      <c r="K22" s="163"/>
      <c r="L22" s="163"/>
      <c r="M22" s="163"/>
      <c r="N22" s="132"/>
      <c r="O22" s="132"/>
      <c r="P22" s="132"/>
      <c r="Q22" s="132"/>
      <c r="R22" s="132"/>
      <c r="S22" s="132"/>
      <c r="T22" s="132"/>
      <c r="U22" s="132"/>
      <c r="V22" s="132"/>
      <c r="W22" s="132"/>
      <c r="X22" s="18"/>
    </row>
    <row r="23" spans="1:24" ht="20.100000000000001" customHeight="1">
      <c r="A23" s="114"/>
      <c r="B23" s="9"/>
      <c r="C23" s="16"/>
      <c r="D23" s="17"/>
      <c r="E23" s="134"/>
      <c r="F23" s="134"/>
      <c r="G23" s="134"/>
      <c r="H23" s="134"/>
      <c r="I23" s="44" t="s">
        <v>98</v>
      </c>
      <c r="J23" s="133" t="s">
        <v>97</v>
      </c>
      <c r="K23" s="133"/>
      <c r="L23" s="133"/>
      <c r="M23" s="133"/>
      <c r="N23" s="133"/>
      <c r="O23" s="133"/>
      <c r="P23" s="133"/>
      <c r="Q23" s="133"/>
      <c r="R23" s="133"/>
      <c r="S23" s="133"/>
      <c r="T23" s="133"/>
      <c r="U23" s="133"/>
      <c r="V23" s="133"/>
      <c r="W23" s="133"/>
      <c r="X23" s="18"/>
    </row>
    <row r="24" spans="1:24" ht="20.100000000000001" customHeight="1">
      <c r="A24" s="114">
        <f>IF(ISBLANK(I24), 1, 0)</f>
        <v>1</v>
      </c>
      <c r="B24" s="9"/>
      <c r="C24" s="16"/>
      <c r="D24" s="17">
        <v>2</v>
      </c>
      <c r="E24" s="130" t="s">
        <v>1</v>
      </c>
      <c r="F24" s="130"/>
      <c r="G24" s="130"/>
      <c r="H24" s="130"/>
      <c r="I24" s="145"/>
      <c r="J24" s="145"/>
      <c r="K24" s="145"/>
      <c r="L24" s="145"/>
      <c r="M24" s="145"/>
      <c r="N24" s="132"/>
      <c r="O24" s="132"/>
      <c r="P24" s="132"/>
      <c r="Q24" s="132"/>
      <c r="R24" s="132"/>
      <c r="S24" s="132"/>
      <c r="T24" s="132"/>
      <c r="U24" s="132"/>
      <c r="V24" s="132"/>
      <c r="W24" s="132"/>
      <c r="X24" s="18"/>
    </row>
    <row r="25" spans="1:24" ht="20.100000000000001" customHeight="1">
      <c r="A25" s="114"/>
      <c r="B25" s="9"/>
      <c r="C25" s="16"/>
      <c r="D25" s="17"/>
      <c r="E25" s="134"/>
      <c r="F25" s="134"/>
      <c r="G25" s="134"/>
      <c r="H25" s="134"/>
      <c r="I25" s="44" t="s">
        <v>99</v>
      </c>
      <c r="J25" s="133" t="s">
        <v>219</v>
      </c>
      <c r="K25" s="133"/>
      <c r="L25" s="133"/>
      <c r="M25" s="133"/>
      <c r="N25" s="133"/>
      <c r="O25" s="133"/>
      <c r="P25" s="133"/>
      <c r="Q25" s="133"/>
      <c r="R25" s="133"/>
      <c r="S25" s="133"/>
      <c r="T25" s="133"/>
      <c r="U25" s="133"/>
      <c r="V25" s="133"/>
      <c r="W25" s="133"/>
      <c r="X25" s="18"/>
    </row>
    <row r="26" spans="1:24" ht="20.100000000000001" customHeight="1">
      <c r="A26" s="114">
        <f>IF(AND(I26&lt;&gt;"", OR(ISERROR(FIND("@"&amp;LEFT(I26,3)&amp;"@",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ISERROR(FIND("@"&amp;LEFT(I26,4)&amp;"@","@神奈川県@和歌山県@鹿児島県@"))=FALSE))=FALSE, 1001,0)</f>
        <v>1001</v>
      </c>
      <c r="B26" s="9"/>
      <c r="C26" s="16"/>
      <c r="D26" s="17">
        <v>3</v>
      </c>
      <c r="E26" s="130" t="s">
        <v>2</v>
      </c>
      <c r="F26" s="130"/>
      <c r="G26" s="130"/>
      <c r="H26" s="130"/>
      <c r="I26" s="161"/>
      <c r="J26" s="161"/>
      <c r="K26" s="161"/>
      <c r="L26" s="161"/>
      <c r="M26" s="161"/>
      <c r="N26" s="161"/>
      <c r="O26" s="161"/>
      <c r="P26" s="161"/>
      <c r="Q26" s="161"/>
      <c r="R26" s="161"/>
      <c r="S26" s="161"/>
      <c r="T26" s="161"/>
      <c r="U26" s="161"/>
      <c r="V26" s="161"/>
      <c r="W26" s="161"/>
      <c r="X26" s="18"/>
    </row>
    <row r="27" spans="1:24" ht="20.100000000000001" customHeight="1">
      <c r="A27" s="114"/>
      <c r="B27" s="9"/>
      <c r="C27" s="16"/>
      <c r="D27" s="17"/>
      <c r="E27" s="134"/>
      <c r="F27" s="134"/>
      <c r="G27" s="134"/>
      <c r="H27" s="134"/>
      <c r="I27" s="46" t="s">
        <v>98</v>
      </c>
      <c r="J27" s="133" t="s">
        <v>192</v>
      </c>
      <c r="K27" s="133"/>
      <c r="L27" s="133"/>
      <c r="M27" s="133"/>
      <c r="N27" s="133"/>
      <c r="O27" s="133"/>
      <c r="P27" s="133"/>
      <c r="Q27" s="133"/>
      <c r="R27" s="133"/>
      <c r="S27" s="133"/>
      <c r="T27" s="133"/>
      <c r="U27" s="133"/>
      <c r="V27" s="133"/>
      <c r="W27" s="133"/>
      <c r="X27" s="18"/>
    </row>
    <row r="28" spans="1:24" ht="20.100000000000001" customHeight="1">
      <c r="A28" s="114">
        <f>IF(ISBLANK(I28), 1, 0)</f>
        <v>1</v>
      </c>
      <c r="B28" s="9"/>
      <c r="C28" s="16"/>
      <c r="D28" s="17">
        <v>4</v>
      </c>
      <c r="E28" s="130" t="s">
        <v>3</v>
      </c>
      <c r="F28" s="130"/>
      <c r="G28" s="130"/>
      <c r="H28" s="130"/>
      <c r="I28" s="131"/>
      <c r="J28" s="131"/>
      <c r="K28" s="131"/>
      <c r="L28" s="131"/>
      <c r="M28" s="131"/>
      <c r="N28" s="131"/>
      <c r="O28" s="131"/>
      <c r="P28" s="131"/>
      <c r="Q28" s="131"/>
      <c r="R28" s="131"/>
      <c r="S28" s="131"/>
      <c r="T28" s="131"/>
      <c r="U28" s="131"/>
      <c r="V28" s="131"/>
      <c r="W28" s="131"/>
      <c r="X28" s="18"/>
    </row>
    <row r="29" spans="1:24" ht="20.100000000000001" customHeight="1">
      <c r="A29" s="114"/>
      <c r="B29" s="9"/>
      <c r="C29" s="19"/>
      <c r="D29" s="40"/>
      <c r="E29" s="134"/>
      <c r="F29" s="134"/>
      <c r="G29" s="134"/>
      <c r="H29" s="134"/>
      <c r="I29" s="44" t="s">
        <v>99</v>
      </c>
      <c r="J29" s="133" t="s">
        <v>187</v>
      </c>
      <c r="K29" s="133"/>
      <c r="L29" s="133"/>
      <c r="M29" s="133"/>
      <c r="N29" s="133"/>
      <c r="O29" s="133"/>
      <c r="P29" s="133"/>
      <c r="Q29" s="133"/>
      <c r="R29" s="133"/>
      <c r="S29" s="133"/>
      <c r="T29" s="133"/>
      <c r="U29" s="133"/>
      <c r="V29" s="133"/>
      <c r="W29" s="133"/>
      <c r="X29" s="18"/>
    </row>
    <row r="30" spans="1:24" ht="20.100000000000001" customHeight="1">
      <c r="A30" s="114">
        <f>IF(ISBLANK(I30), 1, 0)</f>
        <v>1</v>
      </c>
      <c r="B30" s="9"/>
      <c r="C30" s="16"/>
      <c r="D30" s="17">
        <v>5</v>
      </c>
      <c r="E30" s="130" t="s">
        <v>4</v>
      </c>
      <c r="F30" s="130"/>
      <c r="G30" s="130"/>
      <c r="H30" s="130"/>
      <c r="I30" s="131"/>
      <c r="J30" s="131"/>
      <c r="K30" s="131"/>
      <c r="L30" s="131"/>
      <c r="M30" s="131"/>
      <c r="N30" s="131"/>
      <c r="O30" s="131"/>
      <c r="P30" s="131"/>
      <c r="Q30" s="131"/>
      <c r="R30" s="131"/>
      <c r="S30" s="131"/>
      <c r="T30" s="131"/>
      <c r="U30" s="131"/>
      <c r="V30" s="131"/>
      <c r="W30" s="131"/>
      <c r="X30" s="18"/>
    </row>
    <row r="31" spans="1:24" ht="39.950000000000003" customHeight="1">
      <c r="A31" s="114"/>
      <c r="B31" s="9"/>
      <c r="C31" s="19"/>
      <c r="D31" s="40"/>
      <c r="E31" s="134"/>
      <c r="F31" s="134"/>
      <c r="G31" s="134"/>
      <c r="H31" s="134"/>
      <c r="I31" s="45" t="s">
        <v>99</v>
      </c>
      <c r="J31" s="139" t="s">
        <v>253</v>
      </c>
      <c r="K31" s="139"/>
      <c r="L31" s="139"/>
      <c r="M31" s="139"/>
      <c r="N31" s="139"/>
      <c r="O31" s="139"/>
      <c r="P31" s="139"/>
      <c r="Q31" s="139"/>
      <c r="R31" s="139"/>
      <c r="S31" s="139"/>
      <c r="T31" s="139"/>
      <c r="U31" s="139"/>
      <c r="V31" s="139"/>
      <c r="W31" s="139"/>
      <c r="X31" s="23"/>
    </row>
    <row r="32" spans="1:24" ht="20.100000000000001" customHeight="1">
      <c r="A32" s="114">
        <f>IF(ISBLANK(I32), 1, 0)</f>
        <v>1</v>
      </c>
      <c r="B32" s="9"/>
      <c r="C32" s="16"/>
      <c r="D32" s="17">
        <v>6</v>
      </c>
      <c r="E32" s="130" t="s">
        <v>202</v>
      </c>
      <c r="F32" s="130"/>
      <c r="G32" s="130"/>
      <c r="H32" s="130"/>
      <c r="I32" s="131"/>
      <c r="J32" s="131"/>
      <c r="K32" s="131"/>
      <c r="L32" s="131"/>
      <c r="M32" s="131"/>
      <c r="N32" s="131"/>
      <c r="O32" s="131"/>
      <c r="P32" s="131"/>
      <c r="Q32" s="131"/>
      <c r="R32" s="131"/>
      <c r="S32" s="131"/>
      <c r="T32" s="131"/>
      <c r="U32" s="131"/>
      <c r="V32" s="131"/>
      <c r="W32" s="131"/>
      <c r="X32" s="18"/>
    </row>
    <row r="33" spans="1:25" ht="20.100000000000001" customHeight="1">
      <c r="A33" s="114"/>
      <c r="B33" s="9"/>
      <c r="C33" s="19"/>
      <c r="D33" s="40"/>
      <c r="E33" s="134"/>
      <c r="F33" s="134"/>
      <c r="G33" s="134"/>
      <c r="H33" s="134"/>
      <c r="I33" s="44" t="s">
        <v>99</v>
      </c>
      <c r="J33" s="133" t="s">
        <v>254</v>
      </c>
      <c r="K33" s="133"/>
      <c r="L33" s="133"/>
      <c r="M33" s="133"/>
      <c r="N33" s="133"/>
      <c r="O33" s="133"/>
      <c r="P33" s="133"/>
      <c r="Q33" s="133"/>
      <c r="R33" s="133"/>
      <c r="S33" s="133"/>
      <c r="T33" s="133"/>
      <c r="U33" s="133"/>
      <c r="V33" s="133"/>
      <c r="W33" s="133"/>
      <c r="X33" s="24"/>
    </row>
    <row r="34" spans="1:25" ht="20.100000000000001" customHeight="1">
      <c r="A34" s="114"/>
      <c r="B34" s="9"/>
      <c r="C34" s="16"/>
      <c r="D34" s="17">
        <v>7</v>
      </c>
      <c r="E34" s="130" t="s">
        <v>5</v>
      </c>
      <c r="F34" s="130"/>
      <c r="G34" s="130"/>
      <c r="H34" s="130"/>
      <c r="I34" s="131"/>
      <c r="J34" s="131"/>
      <c r="K34" s="131"/>
      <c r="L34" s="131"/>
      <c r="M34" s="131"/>
      <c r="N34" s="131"/>
      <c r="O34" s="131"/>
      <c r="P34" s="131"/>
      <c r="Q34" s="131"/>
      <c r="R34" s="131"/>
      <c r="S34" s="131"/>
      <c r="T34" s="131"/>
      <c r="U34" s="131"/>
      <c r="V34" s="131"/>
      <c r="W34" s="131"/>
      <c r="X34" s="18"/>
    </row>
    <row r="35" spans="1:25" ht="20.100000000000001" customHeight="1">
      <c r="A35" s="114"/>
      <c r="B35" s="9"/>
      <c r="C35" s="19"/>
      <c r="D35" s="40"/>
      <c r="E35" s="134"/>
      <c r="F35" s="134"/>
      <c r="G35" s="134"/>
      <c r="H35" s="134"/>
      <c r="I35" s="44" t="s">
        <v>99</v>
      </c>
      <c r="J35" s="133" t="s">
        <v>103</v>
      </c>
      <c r="K35" s="133"/>
      <c r="L35" s="133"/>
      <c r="M35" s="133"/>
      <c r="N35" s="133"/>
      <c r="O35" s="133"/>
      <c r="P35" s="133"/>
      <c r="Q35" s="133"/>
      <c r="R35" s="133"/>
      <c r="S35" s="133"/>
      <c r="T35" s="133"/>
      <c r="U35" s="133"/>
      <c r="V35" s="133"/>
      <c r="W35" s="133"/>
      <c r="X35" s="24"/>
    </row>
    <row r="36" spans="1:25" ht="20.100000000000001" customHeight="1">
      <c r="A36" s="114">
        <f>IF(ISBLANK(I36), 1, 0)</f>
        <v>1</v>
      </c>
      <c r="B36" s="9"/>
      <c r="C36" s="16"/>
      <c r="D36" s="17">
        <v>8</v>
      </c>
      <c r="E36" s="130" t="s">
        <v>6</v>
      </c>
      <c r="F36" s="130"/>
      <c r="G36" s="130"/>
      <c r="H36" s="130"/>
      <c r="I36" s="131"/>
      <c r="J36" s="131"/>
      <c r="K36" s="131"/>
      <c r="L36" s="131"/>
      <c r="M36" s="131"/>
      <c r="N36" s="131"/>
      <c r="O36" s="131"/>
      <c r="P36" s="131"/>
      <c r="Q36" s="131"/>
      <c r="R36" s="131"/>
      <c r="S36" s="131"/>
      <c r="T36" s="131"/>
      <c r="U36" s="131"/>
      <c r="V36" s="131"/>
      <c r="W36" s="131"/>
      <c r="X36" s="18"/>
    </row>
    <row r="37" spans="1:25" ht="20.100000000000001" customHeight="1">
      <c r="A37" s="114"/>
      <c r="B37" s="9"/>
      <c r="C37" s="19"/>
      <c r="D37" s="40"/>
      <c r="E37" s="134"/>
      <c r="F37" s="134"/>
      <c r="G37" s="134"/>
      <c r="H37" s="134"/>
      <c r="I37" s="44" t="s">
        <v>99</v>
      </c>
      <c r="J37" s="133" t="s">
        <v>105</v>
      </c>
      <c r="K37" s="133"/>
      <c r="L37" s="133"/>
      <c r="M37" s="133"/>
      <c r="N37" s="133"/>
      <c r="O37" s="133"/>
      <c r="P37" s="133"/>
      <c r="Q37" s="133"/>
      <c r="R37" s="133"/>
      <c r="S37" s="133"/>
      <c r="T37" s="133"/>
      <c r="U37" s="133"/>
      <c r="V37" s="133"/>
      <c r="W37" s="133"/>
      <c r="X37" s="18"/>
    </row>
    <row r="38" spans="1:25" ht="20.100000000000001" customHeight="1">
      <c r="A38" s="114">
        <f>IF(ISBLANK(I38), 1, 0)</f>
        <v>1</v>
      </c>
      <c r="B38" s="9"/>
      <c r="C38" s="16"/>
      <c r="D38" s="17">
        <v>9</v>
      </c>
      <c r="E38" s="39" t="s">
        <v>7</v>
      </c>
      <c r="F38" s="39"/>
      <c r="G38" s="39"/>
      <c r="H38" s="39"/>
      <c r="I38" s="131"/>
      <c r="J38" s="131"/>
      <c r="K38" s="131"/>
      <c r="L38" s="131"/>
      <c r="M38" s="131"/>
      <c r="N38" s="132"/>
      <c r="O38" s="132"/>
      <c r="P38" s="132"/>
      <c r="Q38" s="132"/>
      <c r="R38" s="132"/>
      <c r="S38" s="132"/>
      <c r="T38" s="132"/>
      <c r="U38" s="132"/>
      <c r="V38" s="132"/>
      <c r="W38" s="132"/>
      <c r="X38" s="18"/>
    </row>
    <row r="39" spans="1:25" ht="20.100000000000001" customHeight="1">
      <c r="A39" s="114"/>
      <c r="B39" s="9"/>
      <c r="C39" s="19"/>
      <c r="D39" s="40"/>
      <c r="E39" s="40"/>
      <c r="F39" s="40"/>
      <c r="G39" s="40"/>
      <c r="H39" s="40"/>
      <c r="I39" s="44" t="s">
        <v>99</v>
      </c>
      <c r="J39" s="133" t="s">
        <v>104</v>
      </c>
      <c r="K39" s="133"/>
      <c r="L39" s="133"/>
      <c r="M39" s="133"/>
      <c r="N39" s="133"/>
      <c r="O39" s="133"/>
      <c r="P39" s="133"/>
      <c r="Q39" s="133"/>
      <c r="R39" s="133"/>
      <c r="S39" s="133"/>
      <c r="T39" s="133"/>
      <c r="U39" s="133"/>
      <c r="V39" s="133"/>
      <c r="W39" s="133"/>
      <c r="X39" s="18"/>
    </row>
    <row r="40" spans="1:25" ht="20.100000000000001" customHeight="1">
      <c r="A40" s="114">
        <f>IF(ISBLANK(I40), 1, 0)</f>
        <v>1</v>
      </c>
      <c r="B40" s="9"/>
      <c r="C40" s="16"/>
      <c r="D40" s="17">
        <v>10</v>
      </c>
      <c r="E40" s="39" t="s">
        <v>8</v>
      </c>
      <c r="F40" s="39"/>
      <c r="G40" s="39"/>
      <c r="H40" s="39"/>
      <c r="I40" s="131"/>
      <c r="J40" s="131"/>
      <c r="K40" s="131"/>
      <c r="L40" s="131"/>
      <c r="M40" s="131"/>
      <c r="N40" s="132"/>
      <c r="O40" s="132"/>
      <c r="P40" s="132"/>
      <c r="Q40" s="132"/>
      <c r="R40" s="132"/>
      <c r="S40" s="132"/>
      <c r="T40" s="132"/>
      <c r="U40" s="132"/>
      <c r="V40" s="132"/>
      <c r="W40" s="132"/>
      <c r="X40" s="18"/>
    </row>
    <row r="41" spans="1:25" ht="20.100000000000001" customHeight="1">
      <c r="A41" s="114"/>
      <c r="B41" s="9"/>
      <c r="C41" s="19"/>
      <c r="D41" s="40"/>
      <c r="E41" s="40"/>
      <c r="F41" s="40"/>
      <c r="G41" s="40"/>
      <c r="H41" s="40"/>
      <c r="I41" s="44" t="s">
        <v>99</v>
      </c>
      <c r="J41" s="133" t="s">
        <v>104</v>
      </c>
      <c r="K41" s="133"/>
      <c r="L41" s="133"/>
      <c r="M41" s="133"/>
      <c r="N41" s="133"/>
      <c r="O41" s="133"/>
      <c r="P41" s="133"/>
      <c r="Q41" s="133"/>
      <c r="R41" s="133"/>
      <c r="S41" s="133"/>
      <c r="T41" s="133"/>
      <c r="U41" s="133"/>
      <c r="V41" s="133"/>
      <c r="W41" s="133"/>
      <c r="X41" s="18"/>
    </row>
    <row r="42" spans="1:25" ht="20.100000000000001" customHeight="1">
      <c r="A42" s="114">
        <f>IF(ISBLANK(I42), 1, 0)</f>
        <v>1</v>
      </c>
      <c r="B42" s="9"/>
      <c r="C42" s="16"/>
      <c r="D42" s="17">
        <v>11</v>
      </c>
      <c r="E42" s="130" t="s">
        <v>14</v>
      </c>
      <c r="F42" s="130"/>
      <c r="G42" s="130"/>
      <c r="H42" s="130"/>
      <c r="I42" s="169"/>
      <c r="J42" s="169"/>
      <c r="K42" s="169"/>
      <c r="L42" s="169"/>
      <c r="M42" s="169"/>
      <c r="N42" s="132" t="s">
        <v>193</v>
      </c>
      <c r="O42" s="132"/>
      <c r="P42" s="132"/>
      <c r="Q42" s="132"/>
      <c r="R42" s="132"/>
      <c r="S42" s="132"/>
      <c r="T42" s="132"/>
      <c r="U42" s="132"/>
      <c r="V42" s="132"/>
      <c r="W42" s="132"/>
      <c r="X42" s="18"/>
    </row>
    <row r="43" spans="1:25" ht="39.950000000000003" customHeight="1">
      <c r="A43" s="114"/>
      <c r="B43" s="9"/>
      <c r="C43" s="19"/>
      <c r="D43" s="117"/>
      <c r="E43" s="134"/>
      <c r="F43" s="134"/>
      <c r="G43" s="134"/>
      <c r="H43" s="134"/>
      <c r="I43" s="45" t="s">
        <v>99</v>
      </c>
      <c r="J43" s="139" t="s">
        <v>220</v>
      </c>
      <c r="K43" s="139"/>
      <c r="L43" s="139"/>
      <c r="M43" s="139"/>
      <c r="N43" s="139"/>
      <c r="O43" s="139"/>
      <c r="P43" s="139"/>
      <c r="Q43" s="139"/>
      <c r="R43" s="139"/>
      <c r="S43" s="139"/>
      <c r="T43" s="139"/>
      <c r="U43" s="139"/>
      <c r="V43" s="139"/>
      <c r="W43" s="139"/>
      <c r="X43" s="18"/>
      <c r="Y43" s="118"/>
    </row>
    <row r="44" spans="1:25" ht="20.100000000000001" customHeight="1">
      <c r="A44" s="114">
        <f>IF(AND($I44&lt;&gt;"未加入", $I44&lt;&gt;"加入済", $I44&lt;&gt;"適用除外"), 102, 0)</f>
        <v>102</v>
      </c>
      <c r="B44" s="9"/>
      <c r="C44" s="16"/>
      <c r="D44" s="17">
        <v>12</v>
      </c>
      <c r="E44" s="130" t="s">
        <v>115</v>
      </c>
      <c r="F44" s="130"/>
      <c r="G44" s="130"/>
      <c r="H44" s="130"/>
      <c r="I44" s="163"/>
      <c r="J44" s="163"/>
      <c r="K44" s="163"/>
      <c r="L44" s="163"/>
      <c r="M44" s="163"/>
      <c r="N44" s="132"/>
      <c r="O44" s="132"/>
      <c r="P44" s="132"/>
      <c r="Q44" s="132"/>
      <c r="R44" s="132"/>
      <c r="S44" s="132"/>
      <c r="T44" s="132"/>
      <c r="U44" s="132"/>
      <c r="V44" s="132"/>
      <c r="W44" s="132"/>
      <c r="X44" s="18"/>
    </row>
    <row r="45" spans="1:25" ht="20.100000000000001" customHeight="1">
      <c r="A45" s="114"/>
      <c r="B45" s="9"/>
      <c r="C45" s="19"/>
      <c r="D45" s="40"/>
      <c r="E45" s="134"/>
      <c r="F45" s="134"/>
      <c r="G45" s="134"/>
      <c r="H45" s="134"/>
      <c r="I45" s="44" t="s">
        <v>98</v>
      </c>
      <c r="J45" s="133" t="s">
        <v>97</v>
      </c>
      <c r="K45" s="133"/>
      <c r="L45" s="133"/>
      <c r="M45" s="133"/>
      <c r="N45" s="133"/>
      <c r="O45" s="133"/>
      <c r="P45" s="133"/>
      <c r="Q45" s="133"/>
      <c r="R45" s="133"/>
      <c r="S45" s="133"/>
      <c r="T45" s="133"/>
      <c r="U45" s="133"/>
      <c r="V45" s="133"/>
      <c r="W45" s="133"/>
      <c r="X45" s="18"/>
    </row>
    <row r="46" spans="1:25" ht="20.100000000000001" customHeight="1">
      <c r="A46" s="114">
        <f>IF(ISBLANK(I46), 1, 0)</f>
        <v>1</v>
      </c>
      <c r="B46" s="9"/>
      <c r="C46" s="16"/>
      <c r="D46" s="17">
        <v>13</v>
      </c>
      <c r="E46" s="54" t="s">
        <v>112</v>
      </c>
      <c r="F46" s="54"/>
      <c r="G46" s="54"/>
      <c r="H46" s="54"/>
      <c r="I46" s="131"/>
      <c r="J46" s="131"/>
      <c r="K46" s="131"/>
      <c r="L46" s="131"/>
      <c r="M46" s="131"/>
      <c r="N46" s="132"/>
      <c r="O46" s="132"/>
      <c r="P46" s="132"/>
      <c r="Q46" s="132"/>
      <c r="R46" s="132"/>
      <c r="S46" s="132"/>
      <c r="T46" s="132"/>
      <c r="U46" s="132"/>
      <c r="V46" s="132"/>
      <c r="W46" s="132"/>
      <c r="X46" s="18"/>
    </row>
    <row r="47" spans="1:25" ht="20.100000000000001" customHeight="1">
      <c r="A47" s="114"/>
      <c r="B47" s="9"/>
      <c r="C47" s="19"/>
      <c r="D47" s="53"/>
      <c r="E47" s="53"/>
      <c r="F47" s="53"/>
      <c r="G47" s="53"/>
      <c r="H47" s="53"/>
      <c r="I47" s="44" t="s">
        <v>99</v>
      </c>
      <c r="J47" s="139" t="s">
        <v>221</v>
      </c>
      <c r="K47" s="133"/>
      <c r="L47" s="133"/>
      <c r="M47" s="133"/>
      <c r="N47" s="133"/>
      <c r="O47" s="133"/>
      <c r="P47" s="133"/>
      <c r="Q47" s="133"/>
      <c r="R47" s="133"/>
      <c r="S47" s="133"/>
      <c r="T47" s="133"/>
      <c r="U47" s="133"/>
      <c r="V47" s="133"/>
      <c r="W47" s="133"/>
      <c r="X47" s="18"/>
    </row>
    <row r="48" spans="1:25" ht="20.100000000000001" customHeight="1">
      <c r="A48" s="114">
        <f>IF(ISBLANK(I48), 1, 0)</f>
        <v>1</v>
      </c>
      <c r="B48" s="9"/>
      <c r="C48" s="16"/>
      <c r="D48" s="17">
        <v>14</v>
      </c>
      <c r="E48" s="134" t="s">
        <v>119</v>
      </c>
      <c r="F48" s="134"/>
      <c r="G48" s="134"/>
      <c r="H48" s="134"/>
      <c r="I48" s="165"/>
      <c r="J48" s="165"/>
      <c r="K48" s="165"/>
      <c r="L48" s="165"/>
      <c r="M48" s="165"/>
      <c r="N48" s="132"/>
      <c r="O48" s="132"/>
      <c r="P48" s="132"/>
      <c r="Q48" s="132"/>
      <c r="R48" s="132"/>
      <c r="S48" s="132"/>
      <c r="T48" s="132"/>
      <c r="U48" s="132"/>
      <c r="V48" s="132"/>
      <c r="W48" s="132"/>
      <c r="X48" s="18"/>
    </row>
    <row r="49" spans="1:25" ht="30" customHeight="1">
      <c r="A49" s="114"/>
      <c r="B49" s="9"/>
      <c r="C49" s="16"/>
      <c r="D49" s="17"/>
      <c r="E49" s="134"/>
      <c r="F49" s="134"/>
      <c r="G49" s="134"/>
      <c r="H49" s="134"/>
      <c r="I49" s="44" t="s">
        <v>98</v>
      </c>
      <c r="J49" s="139" t="s">
        <v>222</v>
      </c>
      <c r="K49" s="133"/>
      <c r="L49" s="133"/>
      <c r="M49" s="133"/>
      <c r="N49" s="133"/>
      <c r="O49" s="133"/>
      <c r="P49" s="133"/>
      <c r="Q49" s="133"/>
      <c r="R49" s="133"/>
      <c r="S49" s="133"/>
      <c r="T49" s="133"/>
      <c r="U49" s="133"/>
      <c r="V49" s="133"/>
      <c r="W49" s="133"/>
      <c r="X49" s="18"/>
    </row>
    <row r="50" spans="1:25" ht="20.100000000000001" customHeight="1">
      <c r="A50" s="114">
        <f>IF(AND($I50&lt;&gt;"なし", $I50&lt;&gt;"会社更生法", $I50&lt;&gt;"民事再生法"), 102, 0)</f>
        <v>102</v>
      </c>
      <c r="B50" s="9"/>
      <c r="C50" s="16"/>
      <c r="D50" s="17">
        <v>15</v>
      </c>
      <c r="E50" s="39" t="s">
        <v>116</v>
      </c>
      <c r="F50" s="39"/>
      <c r="G50" s="39"/>
      <c r="H50" s="39"/>
      <c r="I50" s="163"/>
      <c r="J50" s="131"/>
      <c r="K50" s="131"/>
      <c r="L50" s="131"/>
      <c r="M50" s="131"/>
      <c r="N50" s="132"/>
      <c r="O50" s="132"/>
      <c r="P50" s="132"/>
      <c r="Q50" s="132"/>
      <c r="R50" s="132"/>
      <c r="S50" s="132"/>
      <c r="T50" s="132"/>
      <c r="U50" s="132"/>
      <c r="V50" s="132"/>
      <c r="W50" s="132"/>
      <c r="X50" s="18"/>
    </row>
    <row r="51" spans="1:25" ht="20.100000000000001" customHeight="1">
      <c r="A51" s="114"/>
      <c r="B51" s="9"/>
      <c r="C51" s="19"/>
      <c r="D51" s="53"/>
      <c r="E51" s="134"/>
      <c r="F51" s="134"/>
      <c r="G51" s="134"/>
      <c r="H51" s="134"/>
      <c r="I51" s="44" t="s">
        <v>98</v>
      </c>
      <c r="J51" s="133" t="s">
        <v>97</v>
      </c>
      <c r="K51" s="133"/>
      <c r="L51" s="133"/>
      <c r="M51" s="133"/>
      <c r="N51" s="133"/>
      <c r="O51" s="133"/>
      <c r="P51" s="133"/>
      <c r="Q51" s="133"/>
      <c r="R51" s="133"/>
      <c r="S51" s="133"/>
      <c r="T51" s="133"/>
      <c r="U51" s="133"/>
      <c r="V51" s="133"/>
      <c r="W51" s="133"/>
      <c r="X51" s="18"/>
    </row>
    <row r="52" spans="1:25" ht="20.100000000000001" customHeight="1">
      <c r="A52" s="114">
        <f>IF(AND(OR(I50="会社更生法",I50="民事再生法"), AND(ISBLANK(I52), ISBLANK(I54))), 1, 0)</f>
        <v>0</v>
      </c>
      <c r="B52" s="9"/>
      <c r="C52" s="16"/>
      <c r="D52" s="17">
        <v>16</v>
      </c>
      <c r="E52" s="134" t="s">
        <v>117</v>
      </c>
      <c r="F52" s="134"/>
      <c r="G52" s="134"/>
      <c r="H52" s="134"/>
      <c r="I52" s="165"/>
      <c r="J52" s="165"/>
      <c r="K52" s="165"/>
      <c r="L52" s="165"/>
      <c r="M52" s="165"/>
      <c r="N52" s="132"/>
      <c r="O52" s="132"/>
      <c r="P52" s="132"/>
      <c r="Q52" s="132"/>
      <c r="R52" s="132"/>
      <c r="S52" s="132"/>
      <c r="T52" s="132"/>
      <c r="U52" s="132"/>
      <c r="V52" s="132"/>
      <c r="W52" s="132"/>
      <c r="X52" s="18"/>
    </row>
    <row r="53" spans="1:25" ht="20.100000000000001" customHeight="1">
      <c r="A53" s="114"/>
      <c r="B53" s="9"/>
      <c r="C53" s="16"/>
      <c r="D53" s="17"/>
      <c r="E53" s="134"/>
      <c r="F53" s="134"/>
      <c r="G53" s="134"/>
      <c r="H53" s="134"/>
      <c r="I53" s="44" t="s">
        <v>98</v>
      </c>
      <c r="J53" s="133" t="s">
        <v>223</v>
      </c>
      <c r="K53" s="133"/>
      <c r="L53" s="133"/>
      <c r="M53" s="133"/>
      <c r="N53" s="133"/>
      <c r="O53" s="133"/>
      <c r="P53" s="133"/>
      <c r="Q53" s="133"/>
      <c r="R53" s="133"/>
      <c r="S53" s="133"/>
      <c r="T53" s="133"/>
      <c r="U53" s="133"/>
      <c r="V53" s="133"/>
      <c r="W53" s="133"/>
      <c r="X53" s="18"/>
    </row>
    <row r="54" spans="1:25" ht="20.100000000000001" customHeight="1">
      <c r="A54" s="114">
        <f>IF(AND(OR(I50="会社更生法",I50="民事再生法"), AND(ISBLANK(I52), ISBLANK(I54))), 1, 0)</f>
        <v>0</v>
      </c>
      <c r="B54" s="9"/>
      <c r="C54" s="16"/>
      <c r="D54" s="17">
        <v>17</v>
      </c>
      <c r="E54" s="134" t="s">
        <v>118</v>
      </c>
      <c r="F54" s="134"/>
      <c r="G54" s="134"/>
      <c r="H54" s="134"/>
      <c r="I54" s="165"/>
      <c r="J54" s="165"/>
      <c r="K54" s="165"/>
      <c r="L54" s="165"/>
      <c r="M54" s="165"/>
      <c r="N54" s="132"/>
      <c r="O54" s="132"/>
      <c r="P54" s="132"/>
      <c r="Q54" s="132"/>
      <c r="R54" s="132"/>
      <c r="S54" s="132"/>
      <c r="T54" s="132"/>
      <c r="U54" s="132"/>
      <c r="V54" s="132"/>
      <c r="W54" s="132"/>
      <c r="X54" s="18"/>
    </row>
    <row r="55" spans="1:25" ht="20.100000000000001" customHeight="1">
      <c r="A55" s="114"/>
      <c r="B55" s="9"/>
      <c r="C55" s="16"/>
      <c r="D55" s="17"/>
      <c r="E55" s="134"/>
      <c r="F55" s="134"/>
      <c r="G55" s="134"/>
      <c r="H55" s="134"/>
      <c r="I55" s="44" t="s">
        <v>98</v>
      </c>
      <c r="J55" s="133" t="s">
        <v>223</v>
      </c>
      <c r="K55" s="133"/>
      <c r="L55" s="133"/>
      <c r="M55" s="133"/>
      <c r="N55" s="133"/>
      <c r="O55" s="133"/>
      <c r="P55" s="133"/>
      <c r="Q55" s="133"/>
      <c r="R55" s="133"/>
      <c r="S55" s="133"/>
      <c r="T55" s="133"/>
      <c r="U55" s="133"/>
      <c r="V55" s="133"/>
      <c r="W55" s="133"/>
      <c r="X55" s="18"/>
    </row>
    <row r="56" spans="1:25" ht="20.100000000000001" customHeight="1">
      <c r="A56" s="114">
        <f>IF(ISBLANK(I56), 1, 0)</f>
        <v>1</v>
      </c>
      <c r="B56" s="9"/>
      <c r="C56" s="16"/>
      <c r="D56" s="17">
        <v>18</v>
      </c>
      <c r="E56" s="39" t="s">
        <v>203</v>
      </c>
      <c r="F56" s="39"/>
      <c r="G56" s="39"/>
      <c r="H56" s="39"/>
      <c r="I56" s="165"/>
      <c r="J56" s="131"/>
      <c r="K56" s="131"/>
      <c r="L56" s="131"/>
      <c r="M56" s="131"/>
      <c r="N56" s="132"/>
      <c r="O56" s="132"/>
      <c r="P56" s="132"/>
      <c r="Q56" s="132"/>
      <c r="R56" s="132"/>
      <c r="S56" s="132"/>
      <c r="T56" s="132"/>
      <c r="U56" s="132"/>
      <c r="V56" s="132"/>
      <c r="W56" s="132"/>
      <c r="X56" s="18"/>
    </row>
    <row r="57" spans="1:25" s="110" customFormat="1" ht="39.950000000000003" customHeight="1">
      <c r="A57" s="115"/>
      <c r="B57" s="105"/>
      <c r="C57" s="106"/>
      <c r="D57" s="107"/>
      <c r="E57" s="171"/>
      <c r="F57" s="171"/>
      <c r="G57" s="171"/>
      <c r="H57" s="171"/>
      <c r="I57" s="45" t="s">
        <v>188</v>
      </c>
      <c r="J57" s="139" t="s">
        <v>224</v>
      </c>
      <c r="K57" s="139"/>
      <c r="L57" s="139"/>
      <c r="M57" s="139"/>
      <c r="N57" s="139"/>
      <c r="O57" s="139"/>
      <c r="P57" s="139"/>
      <c r="Q57" s="139"/>
      <c r="R57" s="139"/>
      <c r="S57" s="139"/>
      <c r="T57" s="139"/>
      <c r="U57" s="139"/>
      <c r="V57" s="139"/>
      <c r="W57" s="139"/>
      <c r="X57" s="108"/>
      <c r="Y57" s="109"/>
    </row>
    <row r="58" spans="1:25" ht="20.100000000000001" customHeight="1">
      <c r="A58" s="114">
        <f>IF(AND($I58&lt;&gt;"請求中", $I58&lt;&gt;"受領済"), 1, 0)</f>
        <v>1</v>
      </c>
      <c r="B58" s="9"/>
      <c r="C58" s="16"/>
      <c r="D58" s="17">
        <v>19</v>
      </c>
      <c r="E58" s="130" t="s">
        <v>204</v>
      </c>
      <c r="F58" s="130"/>
      <c r="G58" s="130"/>
      <c r="H58" s="130"/>
      <c r="I58" s="163"/>
      <c r="J58" s="131"/>
      <c r="K58" s="131"/>
      <c r="L58" s="131"/>
      <c r="M58" s="131"/>
      <c r="N58" s="132"/>
      <c r="O58" s="132"/>
      <c r="P58" s="132"/>
      <c r="Q58" s="132"/>
      <c r="R58" s="132"/>
      <c r="S58" s="132"/>
      <c r="T58" s="132"/>
      <c r="U58" s="132"/>
      <c r="V58" s="132"/>
      <c r="W58" s="132"/>
      <c r="X58" s="18"/>
    </row>
    <row r="59" spans="1:25" ht="20.100000000000001" customHeight="1">
      <c r="A59" s="114"/>
      <c r="B59" s="9"/>
      <c r="C59" s="19"/>
      <c r="D59" s="53"/>
      <c r="E59" s="134"/>
      <c r="F59" s="134"/>
      <c r="G59" s="134"/>
      <c r="H59" s="134"/>
      <c r="I59" s="44" t="s">
        <v>98</v>
      </c>
      <c r="J59" s="133" t="s">
        <v>97</v>
      </c>
      <c r="K59" s="133"/>
      <c r="L59" s="133"/>
      <c r="M59" s="133"/>
      <c r="N59" s="133"/>
      <c r="O59" s="133"/>
      <c r="P59" s="133"/>
      <c r="Q59" s="133"/>
      <c r="R59" s="133"/>
      <c r="S59" s="133"/>
      <c r="T59" s="133"/>
      <c r="U59" s="133"/>
      <c r="V59" s="133"/>
      <c r="W59" s="133"/>
      <c r="X59" s="18"/>
    </row>
    <row r="60" spans="1:25" ht="20.100000000000001" customHeight="1">
      <c r="A60" s="114">
        <f>IF(AND(I22&lt;&gt;"県外", ISBLANK(I60)), 1, 0)</f>
        <v>1</v>
      </c>
      <c r="B60" s="9"/>
      <c r="C60" s="16"/>
      <c r="D60" s="17">
        <v>20</v>
      </c>
      <c r="E60" s="130" t="s">
        <v>120</v>
      </c>
      <c r="F60" s="130"/>
      <c r="G60" s="130"/>
      <c r="H60" s="130"/>
      <c r="I60" s="173"/>
      <c r="J60" s="174"/>
      <c r="K60" s="174"/>
      <c r="L60" s="174"/>
      <c r="M60" s="174"/>
      <c r="N60" s="132" t="s">
        <v>150</v>
      </c>
      <c r="O60" s="132"/>
      <c r="P60" s="132"/>
      <c r="Q60" s="132"/>
      <c r="R60" s="132"/>
      <c r="S60" s="132"/>
      <c r="T60" s="132"/>
      <c r="U60" s="132"/>
      <c r="V60" s="132"/>
      <c r="W60" s="132"/>
      <c r="X60" s="18"/>
    </row>
    <row r="61" spans="1:25" ht="15" customHeight="1">
      <c r="A61" s="114"/>
      <c r="B61" s="9"/>
      <c r="C61" s="19"/>
      <c r="D61" s="103"/>
      <c r="E61" s="134"/>
      <c r="F61" s="134"/>
      <c r="G61" s="134"/>
      <c r="H61" s="134"/>
      <c r="I61" s="44" t="s">
        <v>98</v>
      </c>
      <c r="J61" s="133" t="s">
        <v>194</v>
      </c>
      <c r="K61" s="133"/>
      <c r="L61" s="133"/>
      <c r="M61" s="133"/>
      <c r="N61" s="133"/>
      <c r="O61" s="133"/>
      <c r="P61" s="133"/>
      <c r="Q61" s="133"/>
      <c r="R61" s="133"/>
      <c r="S61" s="133"/>
      <c r="T61" s="133"/>
      <c r="U61" s="133"/>
      <c r="V61" s="133"/>
      <c r="W61" s="133"/>
      <c r="X61" s="18"/>
    </row>
    <row r="62" spans="1:25" s="110" customFormat="1" ht="27.95" customHeight="1">
      <c r="A62" s="115"/>
      <c r="B62" s="105"/>
      <c r="C62" s="106"/>
      <c r="D62" s="107"/>
      <c r="E62" s="171"/>
      <c r="F62" s="171"/>
      <c r="G62" s="171"/>
      <c r="H62" s="171"/>
      <c r="I62" s="45" t="s">
        <v>98</v>
      </c>
      <c r="J62" s="139" t="s">
        <v>195</v>
      </c>
      <c r="K62" s="139"/>
      <c r="L62" s="139"/>
      <c r="M62" s="139"/>
      <c r="N62" s="139"/>
      <c r="O62" s="139"/>
      <c r="P62" s="139"/>
      <c r="Q62" s="139"/>
      <c r="R62" s="139"/>
      <c r="S62" s="139"/>
      <c r="T62" s="139"/>
      <c r="U62" s="139"/>
      <c r="V62" s="139"/>
      <c r="W62" s="139"/>
      <c r="X62" s="108"/>
      <c r="Y62" s="109"/>
    </row>
    <row r="63" spans="1:25" ht="5.0999999999999996" customHeight="1">
      <c r="A63" s="114"/>
      <c r="B63" s="9"/>
      <c r="C63" s="25"/>
      <c r="D63" s="26"/>
      <c r="E63" s="170"/>
      <c r="F63" s="170"/>
      <c r="G63" s="170"/>
      <c r="H63" s="170"/>
      <c r="I63" s="27"/>
      <c r="J63" s="27"/>
      <c r="K63" s="27"/>
      <c r="L63" s="56"/>
      <c r="M63" s="27"/>
      <c r="N63" s="27"/>
      <c r="O63" s="27"/>
      <c r="P63" s="27"/>
      <c r="Q63" s="27"/>
      <c r="R63" s="27"/>
      <c r="S63" s="27"/>
      <c r="T63" s="27"/>
      <c r="U63" s="27"/>
      <c r="V63" s="27"/>
      <c r="W63" s="27"/>
      <c r="X63" s="28"/>
    </row>
    <row r="64" spans="1:25" ht="9.9499999999999993" customHeight="1">
      <c r="A64" s="114"/>
      <c r="B64" s="9"/>
      <c r="C64" s="40"/>
      <c r="D64" s="40"/>
      <c r="E64" s="40"/>
      <c r="F64" s="40"/>
      <c r="G64" s="40"/>
      <c r="H64" s="40"/>
      <c r="I64" s="38"/>
      <c r="J64" s="38"/>
      <c r="K64" s="38"/>
      <c r="L64" s="55"/>
      <c r="M64" s="38"/>
      <c r="N64" s="38"/>
      <c r="O64" s="38"/>
      <c r="P64" s="38"/>
      <c r="Q64" s="38"/>
      <c r="R64" s="38"/>
      <c r="S64" s="38"/>
      <c r="T64" s="38"/>
      <c r="U64" s="38"/>
      <c r="V64" s="38"/>
      <c r="W64" s="38"/>
      <c r="X64" s="40"/>
    </row>
    <row r="65" spans="1:24" ht="9.9499999999999993" customHeight="1">
      <c r="A65" s="114"/>
      <c r="B65" s="9"/>
      <c r="C65" s="40"/>
      <c r="D65" s="40"/>
      <c r="E65" s="40"/>
      <c r="F65" s="40"/>
      <c r="G65" s="40"/>
      <c r="H65" s="40"/>
      <c r="I65" s="38"/>
      <c r="J65" s="40"/>
      <c r="K65" s="40"/>
      <c r="L65" s="124"/>
      <c r="M65" s="40"/>
      <c r="N65" s="40"/>
      <c r="O65" s="40"/>
      <c r="P65" s="40"/>
      <c r="Q65" s="40"/>
      <c r="R65" s="40"/>
      <c r="S65" s="40"/>
      <c r="T65" s="40"/>
      <c r="U65" s="40"/>
      <c r="V65" s="40"/>
      <c r="W65" s="40"/>
      <c r="X65" s="40"/>
    </row>
    <row r="66" spans="1:24" ht="20.100000000000001" customHeight="1">
      <c r="A66" s="114"/>
      <c r="B66" s="9"/>
      <c r="C66" s="142" t="s">
        <v>101</v>
      </c>
      <c r="D66" s="143"/>
      <c r="E66" s="143"/>
      <c r="F66" s="143"/>
      <c r="G66" s="143"/>
      <c r="H66" s="144"/>
    </row>
    <row r="67" spans="1:24" ht="8.1" customHeight="1">
      <c r="A67" s="114"/>
      <c r="B67" s="9"/>
      <c r="C67" s="12"/>
      <c r="D67" s="13"/>
      <c r="E67" s="162"/>
      <c r="F67" s="162"/>
      <c r="G67" s="162"/>
      <c r="H67" s="162"/>
      <c r="I67" s="14"/>
      <c r="J67" s="14"/>
      <c r="K67" s="14"/>
      <c r="L67" s="14"/>
      <c r="M67" s="14"/>
      <c r="N67" s="14"/>
      <c r="O67" s="14"/>
      <c r="P67" s="14"/>
      <c r="Q67" s="14"/>
      <c r="R67" s="14"/>
      <c r="S67" s="14"/>
      <c r="T67" s="14"/>
      <c r="U67" s="14"/>
      <c r="V67" s="14"/>
      <c r="W67" s="14"/>
      <c r="X67" s="15"/>
    </row>
    <row r="68" spans="1:24" ht="20.100000000000001" customHeight="1">
      <c r="A68" s="114">
        <f>IF(AND(I68&lt;&gt;"市内", I68&lt;&gt;"県内", I68&lt;&gt;"県外"), IF(AND($I14&lt;&gt;"有", I68=""), 0,102), 0)</f>
        <v>0</v>
      </c>
      <c r="B68" s="9"/>
      <c r="C68" s="16"/>
      <c r="D68" s="17">
        <v>1</v>
      </c>
      <c r="E68" s="130" t="s">
        <v>0</v>
      </c>
      <c r="F68" s="130"/>
      <c r="G68" s="130"/>
      <c r="H68" s="130"/>
      <c r="I68" s="163"/>
      <c r="J68" s="145"/>
      <c r="K68" s="145"/>
      <c r="L68" s="145"/>
      <c r="M68" s="145"/>
      <c r="N68" s="132"/>
      <c r="O68" s="132"/>
      <c r="P68" s="132"/>
      <c r="Q68" s="132"/>
      <c r="R68" s="132"/>
      <c r="S68" s="132"/>
      <c r="T68" s="132"/>
      <c r="U68" s="132"/>
      <c r="V68" s="132"/>
      <c r="W68" s="132"/>
      <c r="X68" s="18"/>
    </row>
    <row r="69" spans="1:24" ht="20.100000000000001" customHeight="1">
      <c r="A69" s="114"/>
      <c r="B69" s="9"/>
      <c r="C69" s="16"/>
      <c r="D69" s="17"/>
      <c r="E69" s="134"/>
      <c r="F69" s="134"/>
      <c r="G69" s="134"/>
      <c r="H69" s="134"/>
      <c r="I69" s="44" t="s">
        <v>98</v>
      </c>
      <c r="J69" s="133" t="s">
        <v>97</v>
      </c>
      <c r="K69" s="133"/>
      <c r="L69" s="133"/>
      <c r="M69" s="133"/>
      <c r="N69" s="133"/>
      <c r="O69" s="133"/>
      <c r="P69" s="133"/>
      <c r="Q69" s="133"/>
      <c r="R69" s="133"/>
      <c r="S69" s="133"/>
      <c r="T69" s="133"/>
      <c r="U69" s="133"/>
      <c r="V69" s="133"/>
      <c r="W69" s="133"/>
      <c r="X69" s="18"/>
    </row>
    <row r="70" spans="1:24" ht="20.100000000000001" customHeight="1">
      <c r="A70" s="114">
        <f>IF(AND(I14="有",ISBLANK(I70)), 1, 0)</f>
        <v>0</v>
      </c>
      <c r="B70" s="9"/>
      <c r="C70" s="16"/>
      <c r="D70" s="17">
        <v>2</v>
      </c>
      <c r="E70" s="130" t="s">
        <v>1</v>
      </c>
      <c r="F70" s="130"/>
      <c r="G70" s="130"/>
      <c r="H70" s="130"/>
      <c r="I70" s="145"/>
      <c r="J70" s="145"/>
      <c r="K70" s="145"/>
      <c r="L70" s="145"/>
      <c r="M70" s="145"/>
      <c r="N70" s="132"/>
      <c r="O70" s="132"/>
      <c r="P70" s="132"/>
      <c r="Q70" s="132"/>
      <c r="R70" s="132"/>
      <c r="S70" s="132"/>
      <c r="T70" s="132"/>
      <c r="U70" s="132"/>
      <c r="V70" s="132"/>
      <c r="W70" s="132"/>
      <c r="X70" s="18"/>
    </row>
    <row r="71" spans="1:24" ht="20.100000000000001" customHeight="1">
      <c r="A71" s="114"/>
      <c r="B71" s="9"/>
      <c r="C71" s="16"/>
      <c r="D71" s="17"/>
      <c r="E71" s="134"/>
      <c r="F71" s="134"/>
      <c r="G71" s="134"/>
      <c r="H71" s="134"/>
      <c r="I71" s="44" t="s">
        <v>99</v>
      </c>
      <c r="J71" s="133" t="s">
        <v>219</v>
      </c>
      <c r="K71" s="133"/>
      <c r="L71" s="133"/>
      <c r="M71" s="133"/>
      <c r="N71" s="133"/>
      <c r="O71" s="133"/>
      <c r="P71" s="133"/>
      <c r="Q71" s="133"/>
      <c r="R71" s="133"/>
      <c r="S71" s="133"/>
      <c r="T71" s="133"/>
      <c r="U71" s="133"/>
      <c r="V71" s="133"/>
      <c r="W71" s="133"/>
      <c r="X71" s="18"/>
    </row>
    <row r="72" spans="1:24" ht="20.100000000000001" customHeight="1">
      <c r="A72" s="114">
        <f>IF(AND(I14="有", AND(I72&lt;&gt;"", OR(ISERROR(FIND("@"&amp;LEFT(I72,3)&amp;"@",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ISERROR(FIND("@"&amp;LEFT(I72,4)&amp;"@","@神奈川県@和歌山県@鹿児島県@"))=FALSE))=FALSE), 1001,0)</f>
        <v>0</v>
      </c>
      <c r="B72" s="9"/>
      <c r="C72" s="16"/>
      <c r="D72" s="17">
        <v>3</v>
      </c>
      <c r="E72" s="130" t="s">
        <v>2</v>
      </c>
      <c r="F72" s="130"/>
      <c r="G72" s="130"/>
      <c r="H72" s="130"/>
      <c r="I72" s="161"/>
      <c r="J72" s="161"/>
      <c r="K72" s="161"/>
      <c r="L72" s="161"/>
      <c r="M72" s="161"/>
      <c r="N72" s="161"/>
      <c r="O72" s="161"/>
      <c r="P72" s="161"/>
      <c r="Q72" s="161"/>
      <c r="R72" s="161"/>
      <c r="S72" s="161"/>
      <c r="T72" s="161"/>
      <c r="U72" s="161"/>
      <c r="V72" s="161"/>
      <c r="W72" s="161"/>
      <c r="X72" s="18"/>
    </row>
    <row r="73" spans="1:24" ht="20.100000000000001" customHeight="1">
      <c r="A73" s="114"/>
      <c r="B73" s="9"/>
      <c r="C73" s="16"/>
      <c r="D73" s="17"/>
      <c r="E73" s="134"/>
      <c r="F73" s="134"/>
      <c r="G73" s="134"/>
      <c r="H73" s="134"/>
      <c r="I73" s="46" t="s">
        <v>98</v>
      </c>
      <c r="J73" s="133" t="s">
        <v>192</v>
      </c>
      <c r="K73" s="133"/>
      <c r="L73" s="133"/>
      <c r="M73" s="133"/>
      <c r="N73" s="133"/>
      <c r="O73" s="133"/>
      <c r="P73" s="133"/>
      <c r="Q73" s="133"/>
      <c r="R73" s="133"/>
      <c r="S73" s="133"/>
      <c r="T73" s="133"/>
      <c r="U73" s="133"/>
      <c r="V73" s="133"/>
      <c r="W73" s="133"/>
      <c r="X73" s="18"/>
    </row>
    <row r="74" spans="1:24" ht="20.100000000000001" customHeight="1">
      <c r="A74" s="114">
        <f>IF(AND(I14="有",ISBLANK(I74)), 1, 0)</f>
        <v>0</v>
      </c>
      <c r="B74" s="9"/>
      <c r="C74" s="16"/>
      <c r="D74" s="17">
        <v>4</v>
      </c>
      <c r="E74" s="130" t="s">
        <v>10</v>
      </c>
      <c r="F74" s="130"/>
      <c r="G74" s="130"/>
      <c r="H74" s="130"/>
      <c r="I74" s="131"/>
      <c r="J74" s="131"/>
      <c r="K74" s="131"/>
      <c r="L74" s="131"/>
      <c r="M74" s="131"/>
      <c r="N74" s="131"/>
      <c r="O74" s="131"/>
      <c r="P74" s="131"/>
      <c r="Q74" s="131"/>
      <c r="R74" s="131"/>
      <c r="S74" s="131"/>
      <c r="T74" s="131"/>
      <c r="U74" s="131"/>
      <c r="V74" s="131"/>
      <c r="W74" s="131"/>
      <c r="X74" s="18"/>
    </row>
    <row r="75" spans="1:24" ht="20.100000000000001" customHeight="1">
      <c r="A75" s="114"/>
      <c r="B75" s="9"/>
      <c r="C75" s="19"/>
      <c r="D75" s="40"/>
      <c r="E75" s="134"/>
      <c r="F75" s="134"/>
      <c r="G75" s="134"/>
      <c r="H75" s="134"/>
      <c r="I75" s="44" t="s">
        <v>99</v>
      </c>
      <c r="J75" s="133" t="s">
        <v>196</v>
      </c>
      <c r="K75" s="133"/>
      <c r="L75" s="133"/>
      <c r="M75" s="133"/>
      <c r="N75" s="133"/>
      <c r="O75" s="133"/>
      <c r="P75" s="133"/>
      <c r="Q75" s="133"/>
      <c r="R75" s="133"/>
      <c r="S75" s="133"/>
      <c r="T75" s="133"/>
      <c r="U75" s="133"/>
      <c r="V75" s="133"/>
      <c r="W75" s="133"/>
      <c r="X75" s="18"/>
    </row>
    <row r="76" spans="1:24" ht="20.100000000000001" customHeight="1">
      <c r="A76" s="114">
        <f>IF(AND(I14="有",ISBLANK(I76)), 1, 0)</f>
        <v>0</v>
      </c>
      <c r="B76" s="9"/>
      <c r="C76" s="16"/>
      <c r="D76" s="17">
        <v>5</v>
      </c>
      <c r="E76" s="130" t="s">
        <v>11</v>
      </c>
      <c r="F76" s="130"/>
      <c r="G76" s="130"/>
      <c r="H76" s="130"/>
      <c r="I76" s="131"/>
      <c r="J76" s="131"/>
      <c r="K76" s="131"/>
      <c r="L76" s="131"/>
      <c r="M76" s="131"/>
      <c r="N76" s="131"/>
      <c r="O76" s="131"/>
      <c r="P76" s="131"/>
      <c r="Q76" s="131"/>
      <c r="R76" s="131"/>
      <c r="S76" s="131"/>
      <c r="T76" s="131"/>
      <c r="U76" s="131"/>
      <c r="V76" s="131"/>
      <c r="W76" s="131"/>
      <c r="X76" s="18"/>
    </row>
    <row r="77" spans="1:24" ht="20.100000000000001" customHeight="1">
      <c r="A77" s="114"/>
      <c r="B77" s="9"/>
      <c r="C77" s="19"/>
      <c r="D77" s="40"/>
      <c r="E77" s="134"/>
      <c r="F77" s="134"/>
      <c r="G77" s="134"/>
      <c r="H77" s="134"/>
      <c r="I77" s="45" t="s">
        <v>99</v>
      </c>
      <c r="J77" s="139" t="s">
        <v>197</v>
      </c>
      <c r="K77" s="139"/>
      <c r="L77" s="139"/>
      <c r="M77" s="139"/>
      <c r="N77" s="139"/>
      <c r="O77" s="139"/>
      <c r="P77" s="139"/>
      <c r="Q77" s="139"/>
      <c r="R77" s="139"/>
      <c r="S77" s="139"/>
      <c r="T77" s="139"/>
      <c r="U77" s="139"/>
      <c r="V77" s="139"/>
      <c r="W77" s="139"/>
      <c r="X77" s="18"/>
    </row>
    <row r="78" spans="1:24" ht="20.100000000000001" customHeight="1">
      <c r="A78" s="114">
        <f>IF(AND(I14="有",ISBLANK(I78)), 1, 0)</f>
        <v>0</v>
      </c>
      <c r="B78" s="9"/>
      <c r="C78" s="16"/>
      <c r="D78" s="17">
        <v>6</v>
      </c>
      <c r="E78" s="130" t="s">
        <v>211</v>
      </c>
      <c r="F78" s="130"/>
      <c r="G78" s="130"/>
      <c r="H78" s="130"/>
      <c r="I78" s="131"/>
      <c r="J78" s="131"/>
      <c r="K78" s="131"/>
      <c r="L78" s="131"/>
      <c r="M78" s="131"/>
      <c r="N78" s="131"/>
      <c r="O78" s="131"/>
      <c r="P78" s="131"/>
      <c r="Q78" s="131"/>
      <c r="R78" s="131"/>
      <c r="S78" s="131"/>
      <c r="T78" s="131"/>
      <c r="U78" s="131"/>
      <c r="V78" s="131"/>
      <c r="W78" s="131"/>
      <c r="X78" s="18"/>
    </row>
    <row r="79" spans="1:24" ht="20.100000000000001" customHeight="1">
      <c r="A79" s="114"/>
      <c r="B79" s="9"/>
      <c r="C79" s="19"/>
      <c r="D79" s="40"/>
      <c r="E79" s="134"/>
      <c r="F79" s="134"/>
      <c r="G79" s="134"/>
      <c r="H79" s="134"/>
      <c r="I79" s="44" t="s">
        <v>99</v>
      </c>
      <c r="J79" s="139" t="s">
        <v>198</v>
      </c>
      <c r="K79" s="139"/>
      <c r="L79" s="139"/>
      <c r="M79" s="139"/>
      <c r="N79" s="139"/>
      <c r="O79" s="139"/>
      <c r="P79" s="139"/>
      <c r="Q79" s="139"/>
      <c r="R79" s="139"/>
      <c r="S79" s="139"/>
      <c r="T79" s="139"/>
      <c r="U79" s="139"/>
      <c r="V79" s="139"/>
      <c r="W79" s="139"/>
      <c r="X79" s="18"/>
    </row>
    <row r="80" spans="1:24" ht="20.100000000000001" customHeight="1">
      <c r="A80" s="114"/>
      <c r="B80" s="9"/>
      <c r="C80" s="16"/>
      <c r="D80" s="17">
        <v>7</v>
      </c>
      <c r="E80" s="130" t="s">
        <v>212</v>
      </c>
      <c r="F80" s="130"/>
      <c r="G80" s="130"/>
      <c r="H80" s="130"/>
      <c r="I80" s="131"/>
      <c r="J80" s="131"/>
      <c r="K80" s="131"/>
      <c r="L80" s="131"/>
      <c r="M80" s="131"/>
      <c r="N80" s="131"/>
      <c r="O80" s="131"/>
      <c r="P80" s="131"/>
      <c r="Q80" s="131"/>
      <c r="R80" s="131"/>
      <c r="S80" s="131"/>
      <c r="T80" s="131"/>
      <c r="U80" s="131"/>
      <c r="V80" s="131"/>
      <c r="W80" s="131"/>
      <c r="X80" s="18"/>
    </row>
    <row r="81" spans="1:24" ht="20.100000000000001" customHeight="1">
      <c r="A81" s="114"/>
      <c r="B81" s="9"/>
      <c r="C81" s="19"/>
      <c r="D81" s="40"/>
      <c r="E81" s="134"/>
      <c r="F81" s="134"/>
      <c r="G81" s="134"/>
      <c r="H81" s="134"/>
      <c r="I81" s="44" t="s">
        <v>99</v>
      </c>
      <c r="J81" s="133" t="s">
        <v>103</v>
      </c>
      <c r="K81" s="133"/>
      <c r="L81" s="133"/>
      <c r="M81" s="133"/>
      <c r="N81" s="133"/>
      <c r="O81" s="133"/>
      <c r="P81" s="133"/>
      <c r="Q81" s="133"/>
      <c r="R81" s="133"/>
      <c r="S81" s="133"/>
      <c r="T81" s="133"/>
      <c r="U81" s="133"/>
      <c r="V81" s="133"/>
      <c r="W81" s="133"/>
      <c r="X81" s="18"/>
    </row>
    <row r="82" spans="1:24" ht="20.100000000000001" customHeight="1">
      <c r="A82" s="114">
        <f>IF(AND(I14="有",ISBLANK(I82)), 1, 0)</f>
        <v>0</v>
      </c>
      <c r="B82" s="9"/>
      <c r="C82" s="16"/>
      <c r="D82" s="17">
        <v>8</v>
      </c>
      <c r="E82" s="130" t="s">
        <v>213</v>
      </c>
      <c r="F82" s="130"/>
      <c r="G82" s="130"/>
      <c r="H82" s="130"/>
      <c r="I82" s="131"/>
      <c r="J82" s="131"/>
      <c r="K82" s="131"/>
      <c r="L82" s="131"/>
      <c r="M82" s="131"/>
      <c r="N82" s="131"/>
      <c r="O82" s="131"/>
      <c r="P82" s="131"/>
      <c r="Q82" s="131"/>
      <c r="R82" s="131"/>
      <c r="S82" s="131"/>
      <c r="T82" s="131"/>
      <c r="U82" s="131"/>
      <c r="V82" s="131"/>
      <c r="W82" s="131"/>
      <c r="X82" s="18"/>
    </row>
    <row r="83" spans="1:24" ht="20.100000000000001" customHeight="1">
      <c r="A83" s="114"/>
      <c r="B83" s="9"/>
      <c r="C83" s="19"/>
      <c r="D83" s="40"/>
      <c r="E83" s="134"/>
      <c r="F83" s="134"/>
      <c r="G83" s="134"/>
      <c r="H83" s="134"/>
      <c r="I83" s="44" t="s">
        <v>99</v>
      </c>
      <c r="J83" s="133" t="s">
        <v>105</v>
      </c>
      <c r="K83" s="133"/>
      <c r="L83" s="133"/>
      <c r="M83" s="133"/>
      <c r="N83" s="133"/>
      <c r="O83" s="133"/>
      <c r="P83" s="133"/>
      <c r="Q83" s="133"/>
      <c r="R83" s="133"/>
      <c r="S83" s="133"/>
      <c r="T83" s="133"/>
      <c r="U83" s="133"/>
      <c r="V83" s="133"/>
      <c r="W83" s="133"/>
      <c r="X83" s="18"/>
    </row>
    <row r="84" spans="1:24" ht="20.100000000000001" customHeight="1">
      <c r="A84" s="114">
        <f>IF(AND(I14="有",ISBLANK(I84)), 1, 0)</f>
        <v>0</v>
      </c>
      <c r="B84" s="9"/>
      <c r="C84" s="16"/>
      <c r="D84" s="17">
        <v>9</v>
      </c>
      <c r="E84" s="130" t="s">
        <v>7</v>
      </c>
      <c r="F84" s="130"/>
      <c r="G84" s="130"/>
      <c r="H84" s="130"/>
      <c r="I84" s="131"/>
      <c r="J84" s="131"/>
      <c r="K84" s="131"/>
      <c r="L84" s="131"/>
      <c r="M84" s="131"/>
      <c r="N84" s="132"/>
      <c r="O84" s="132"/>
      <c r="P84" s="132"/>
      <c r="Q84" s="132"/>
      <c r="R84" s="132"/>
      <c r="S84" s="132"/>
      <c r="T84" s="132"/>
      <c r="U84" s="132"/>
      <c r="V84" s="132"/>
      <c r="W84" s="132"/>
      <c r="X84" s="18"/>
    </row>
    <row r="85" spans="1:24" ht="20.100000000000001" customHeight="1">
      <c r="A85" s="114"/>
      <c r="B85" s="9"/>
      <c r="C85" s="19"/>
      <c r="D85" s="40"/>
      <c r="E85" s="134"/>
      <c r="F85" s="134"/>
      <c r="G85" s="134"/>
      <c r="H85" s="134"/>
      <c r="I85" s="44" t="s">
        <v>99</v>
      </c>
      <c r="J85" s="133" t="s">
        <v>104</v>
      </c>
      <c r="K85" s="133"/>
      <c r="L85" s="133"/>
      <c r="M85" s="133"/>
      <c r="N85" s="133"/>
      <c r="O85" s="133"/>
      <c r="P85" s="133"/>
      <c r="Q85" s="133"/>
      <c r="R85" s="133"/>
      <c r="S85" s="133"/>
      <c r="T85" s="133"/>
      <c r="U85" s="133"/>
      <c r="V85" s="133"/>
      <c r="W85" s="133"/>
      <c r="X85" s="18"/>
    </row>
    <row r="86" spans="1:24" ht="20.100000000000001" customHeight="1">
      <c r="A86" s="114">
        <f>IF(AND(I14="有",ISBLANK(I86)), 1, 0)</f>
        <v>0</v>
      </c>
      <c r="B86" s="9"/>
      <c r="C86" s="16"/>
      <c r="D86" s="17">
        <v>10</v>
      </c>
      <c r="E86" s="130" t="s">
        <v>8</v>
      </c>
      <c r="F86" s="130"/>
      <c r="G86" s="130"/>
      <c r="H86" s="130"/>
      <c r="I86" s="131"/>
      <c r="J86" s="131"/>
      <c r="K86" s="131"/>
      <c r="L86" s="131"/>
      <c r="M86" s="131"/>
      <c r="N86" s="132"/>
      <c r="O86" s="132"/>
      <c r="P86" s="132"/>
      <c r="Q86" s="132"/>
      <c r="R86" s="132"/>
      <c r="S86" s="132"/>
      <c r="T86" s="132"/>
      <c r="U86" s="132"/>
      <c r="V86" s="132"/>
      <c r="W86" s="132"/>
      <c r="X86" s="18"/>
    </row>
    <row r="87" spans="1:24" ht="20.100000000000001" customHeight="1">
      <c r="A87" s="114"/>
      <c r="B87" s="9"/>
      <c r="C87" s="19"/>
      <c r="D87" s="40"/>
      <c r="E87" s="134"/>
      <c r="F87" s="134"/>
      <c r="G87" s="134"/>
      <c r="H87" s="134"/>
      <c r="I87" s="44" t="s">
        <v>99</v>
      </c>
      <c r="J87" s="133" t="s">
        <v>104</v>
      </c>
      <c r="K87" s="133"/>
      <c r="L87" s="133"/>
      <c r="M87" s="133"/>
      <c r="N87" s="133"/>
      <c r="O87" s="133"/>
      <c r="P87" s="133"/>
      <c r="Q87" s="133"/>
      <c r="R87" s="133"/>
      <c r="S87" s="133"/>
      <c r="T87" s="133"/>
      <c r="U87" s="133"/>
      <c r="V87" s="133"/>
      <c r="W87" s="133"/>
      <c r="X87" s="18"/>
    </row>
    <row r="88" spans="1:24" ht="5.0999999999999996" customHeight="1">
      <c r="A88" s="114"/>
      <c r="B88" s="9"/>
      <c r="C88" s="25"/>
      <c r="D88" s="26"/>
      <c r="E88" s="170"/>
      <c r="F88" s="170"/>
      <c r="G88" s="170"/>
      <c r="H88" s="170"/>
      <c r="I88" s="27"/>
      <c r="J88" s="27"/>
      <c r="K88" s="27"/>
      <c r="L88" s="56"/>
      <c r="M88" s="27"/>
      <c r="N88" s="27"/>
      <c r="O88" s="27"/>
      <c r="P88" s="27"/>
      <c r="Q88" s="27"/>
      <c r="R88" s="27"/>
      <c r="S88" s="27"/>
      <c r="T88" s="27"/>
      <c r="U88" s="27"/>
      <c r="V88" s="27"/>
      <c r="W88" s="27"/>
      <c r="X88" s="28"/>
    </row>
    <row r="89" spans="1:24" ht="9.9499999999999993" customHeight="1">
      <c r="A89" s="114"/>
      <c r="B89" s="9"/>
      <c r="C89" s="40"/>
      <c r="D89" s="40"/>
      <c r="E89" s="40"/>
      <c r="F89" s="40"/>
      <c r="G89" s="40"/>
      <c r="H89" s="40"/>
      <c r="I89" s="38"/>
      <c r="J89" s="38"/>
      <c r="K89" s="38"/>
      <c r="L89" s="55"/>
      <c r="M89" s="38"/>
      <c r="N89" s="38"/>
      <c r="O89" s="38"/>
      <c r="P89" s="38"/>
      <c r="Q89" s="38"/>
      <c r="R89" s="38"/>
      <c r="S89" s="38"/>
      <c r="T89" s="38"/>
      <c r="U89" s="38"/>
      <c r="V89" s="38"/>
      <c r="W89" s="38"/>
      <c r="X89" s="40"/>
    </row>
    <row r="90" spans="1:24" ht="9.9499999999999993" customHeight="1">
      <c r="A90" s="114"/>
      <c r="B90" s="9"/>
      <c r="C90" s="40"/>
      <c r="D90" s="40"/>
      <c r="E90" s="40"/>
      <c r="F90" s="40"/>
      <c r="G90" s="40"/>
      <c r="H90" s="40"/>
      <c r="I90" s="38"/>
      <c r="J90" s="40"/>
      <c r="K90" s="40"/>
      <c r="L90" s="124"/>
      <c r="M90" s="40"/>
      <c r="N90" s="40"/>
      <c r="O90" s="40"/>
      <c r="P90" s="40"/>
      <c r="Q90" s="40"/>
      <c r="R90" s="40"/>
      <c r="S90" s="40"/>
      <c r="T90" s="40"/>
      <c r="U90" s="40"/>
      <c r="V90" s="40"/>
      <c r="W90" s="40"/>
      <c r="X90" s="40"/>
    </row>
    <row r="91" spans="1:24" ht="20.100000000000001" customHeight="1">
      <c r="A91" s="114"/>
      <c r="B91" s="9"/>
      <c r="C91" s="142" t="s">
        <v>106</v>
      </c>
      <c r="D91" s="143"/>
      <c r="E91" s="143"/>
      <c r="F91" s="143"/>
      <c r="G91" s="143"/>
      <c r="H91" s="144"/>
    </row>
    <row r="92" spans="1:24" ht="8.1" customHeight="1">
      <c r="A92" s="114"/>
      <c r="B92" s="9"/>
      <c r="C92" s="29"/>
      <c r="D92" s="30"/>
      <c r="E92" s="30"/>
      <c r="F92" s="30"/>
      <c r="G92" s="30"/>
      <c r="H92" s="30"/>
      <c r="I92" s="14"/>
      <c r="J92" s="14"/>
      <c r="K92" s="14"/>
      <c r="L92" s="14"/>
      <c r="M92" s="14"/>
      <c r="N92" s="14"/>
      <c r="O92" s="14"/>
      <c r="P92" s="14"/>
      <c r="Q92" s="14"/>
      <c r="R92" s="14"/>
      <c r="S92" s="14"/>
      <c r="T92" s="14"/>
      <c r="U92" s="14"/>
      <c r="V92" s="14"/>
      <c r="W92" s="14"/>
      <c r="X92" s="15"/>
    </row>
    <row r="93" spans="1:24" ht="15" customHeight="1">
      <c r="A93" s="114"/>
      <c r="B93" s="9"/>
      <c r="C93" s="29"/>
      <c r="D93" s="133" t="s">
        <v>205</v>
      </c>
      <c r="E93" s="133"/>
      <c r="F93" s="133"/>
      <c r="G93" s="133"/>
      <c r="H93" s="133"/>
      <c r="I93" s="172"/>
      <c r="J93" s="133"/>
      <c r="K93" s="133"/>
      <c r="L93" s="133"/>
      <c r="M93" s="133"/>
      <c r="N93" s="133"/>
      <c r="O93" s="133"/>
      <c r="P93" s="133"/>
      <c r="Q93" s="133"/>
      <c r="R93" s="133"/>
      <c r="S93" s="133"/>
      <c r="T93" s="133"/>
      <c r="U93" s="133"/>
      <c r="V93" s="133"/>
      <c r="W93" s="133"/>
      <c r="X93" s="18"/>
    </row>
    <row r="94" spans="1:24" ht="20.100000000000001" customHeight="1">
      <c r="A94" s="114">
        <f>IF(ISBLANK(I94), 1, 0)</f>
        <v>1</v>
      </c>
      <c r="B94" s="9"/>
      <c r="C94" s="16"/>
      <c r="D94" s="17">
        <v>1</v>
      </c>
      <c r="E94" s="130" t="s">
        <v>9</v>
      </c>
      <c r="F94" s="130"/>
      <c r="G94" s="130"/>
      <c r="H94" s="130"/>
      <c r="I94" s="131"/>
      <c r="J94" s="131"/>
      <c r="K94" s="131"/>
      <c r="L94" s="131"/>
      <c r="M94" s="131"/>
      <c r="N94" s="131"/>
      <c r="O94" s="131"/>
      <c r="P94" s="131"/>
      <c r="Q94" s="131"/>
      <c r="R94" s="131"/>
      <c r="S94" s="131"/>
      <c r="T94" s="131"/>
      <c r="U94" s="131"/>
      <c r="V94" s="131"/>
      <c r="W94" s="131"/>
      <c r="X94" s="18"/>
    </row>
    <row r="95" spans="1:24" ht="31.5" customHeight="1">
      <c r="A95" s="114"/>
      <c r="B95" s="9"/>
      <c r="C95" s="16"/>
      <c r="D95" s="17"/>
      <c r="E95" s="134"/>
      <c r="F95" s="134"/>
      <c r="G95" s="134"/>
      <c r="H95" s="134"/>
      <c r="I95" s="46" t="s">
        <v>98</v>
      </c>
      <c r="J95" s="139" t="s">
        <v>199</v>
      </c>
      <c r="K95" s="139"/>
      <c r="L95" s="139"/>
      <c r="M95" s="139"/>
      <c r="N95" s="139"/>
      <c r="O95" s="139"/>
      <c r="P95" s="139"/>
      <c r="Q95" s="139"/>
      <c r="R95" s="139"/>
      <c r="S95" s="139"/>
      <c r="T95" s="139"/>
      <c r="U95" s="139"/>
      <c r="V95" s="139"/>
      <c r="W95" s="139"/>
      <c r="X95" s="18"/>
    </row>
    <row r="96" spans="1:24" ht="20.100000000000001" customHeight="1">
      <c r="A96" s="114"/>
      <c r="B96" s="9"/>
      <c r="C96" s="16"/>
      <c r="D96" s="17">
        <v>2</v>
      </c>
      <c r="E96" s="130" t="s">
        <v>208</v>
      </c>
      <c r="F96" s="130"/>
      <c r="G96" s="130"/>
      <c r="H96" s="130"/>
      <c r="I96" s="131"/>
      <c r="J96" s="131"/>
      <c r="K96" s="131"/>
      <c r="L96" s="131"/>
      <c r="M96" s="131"/>
      <c r="N96" s="131"/>
      <c r="O96" s="131"/>
      <c r="P96" s="131"/>
      <c r="Q96" s="131"/>
      <c r="R96" s="131"/>
      <c r="S96" s="131"/>
      <c r="T96" s="131"/>
      <c r="U96" s="131"/>
      <c r="V96" s="131"/>
      <c r="W96" s="131"/>
      <c r="X96" s="18"/>
    </row>
    <row r="97" spans="1:24" ht="20.100000000000001" customHeight="1">
      <c r="A97" s="114"/>
      <c r="B97" s="9"/>
      <c r="C97" s="16"/>
      <c r="D97" s="17"/>
      <c r="E97" s="134"/>
      <c r="F97" s="134"/>
      <c r="G97" s="134"/>
      <c r="H97" s="134"/>
      <c r="I97" s="46" t="s">
        <v>99</v>
      </c>
      <c r="J97" s="133" t="s">
        <v>103</v>
      </c>
      <c r="K97" s="133"/>
      <c r="L97" s="133"/>
      <c r="M97" s="133"/>
      <c r="N97" s="133"/>
      <c r="O97" s="133"/>
      <c r="P97" s="133"/>
      <c r="Q97" s="133"/>
      <c r="R97" s="133"/>
      <c r="S97" s="133"/>
      <c r="T97" s="133"/>
      <c r="U97" s="133"/>
      <c r="V97" s="133"/>
      <c r="W97" s="133"/>
      <c r="X97" s="18"/>
    </row>
    <row r="98" spans="1:24" ht="20.100000000000001" customHeight="1">
      <c r="A98" s="114">
        <f>IF(ISBLANK(I98), 1, 0)</f>
        <v>1</v>
      </c>
      <c r="B98" s="9"/>
      <c r="C98" s="16"/>
      <c r="D98" s="17">
        <v>3</v>
      </c>
      <c r="E98" s="130" t="s">
        <v>209</v>
      </c>
      <c r="F98" s="130"/>
      <c r="G98" s="130"/>
      <c r="H98" s="130"/>
      <c r="I98" s="131"/>
      <c r="J98" s="131"/>
      <c r="K98" s="131"/>
      <c r="L98" s="131"/>
      <c r="M98" s="131"/>
      <c r="N98" s="131"/>
      <c r="O98" s="131"/>
      <c r="P98" s="131"/>
      <c r="Q98" s="131"/>
      <c r="R98" s="131"/>
      <c r="S98" s="131"/>
      <c r="T98" s="131"/>
      <c r="U98" s="131"/>
      <c r="V98" s="131"/>
      <c r="W98" s="131"/>
      <c r="X98" s="18"/>
    </row>
    <row r="99" spans="1:24" ht="20.100000000000001" customHeight="1">
      <c r="A99" s="114"/>
      <c r="B99" s="9"/>
      <c r="C99" s="16"/>
      <c r="D99" s="17"/>
      <c r="E99" s="134"/>
      <c r="F99" s="134"/>
      <c r="G99" s="134"/>
      <c r="H99" s="134"/>
      <c r="I99" s="46" t="s">
        <v>99</v>
      </c>
      <c r="J99" s="133" t="s">
        <v>105</v>
      </c>
      <c r="K99" s="133"/>
      <c r="L99" s="133"/>
      <c r="M99" s="133"/>
      <c r="N99" s="133"/>
      <c r="O99" s="133"/>
      <c r="P99" s="133"/>
      <c r="Q99" s="133"/>
      <c r="R99" s="133"/>
      <c r="S99" s="133"/>
      <c r="T99" s="133"/>
      <c r="U99" s="133"/>
      <c r="V99" s="133"/>
      <c r="W99" s="133"/>
      <c r="X99" s="18"/>
    </row>
    <row r="100" spans="1:24" ht="20.100000000000001" customHeight="1">
      <c r="A100" s="114">
        <f>IF(ISBLANK(I100), 1, 0)</f>
        <v>1</v>
      </c>
      <c r="B100" s="9"/>
      <c r="C100" s="16"/>
      <c r="D100" s="17">
        <v>4</v>
      </c>
      <c r="E100" s="130" t="s">
        <v>7</v>
      </c>
      <c r="F100" s="130"/>
      <c r="G100" s="130"/>
      <c r="H100" s="130"/>
      <c r="I100" s="131"/>
      <c r="J100" s="131"/>
      <c r="K100" s="131"/>
      <c r="L100" s="131"/>
      <c r="M100" s="131"/>
      <c r="N100" s="132"/>
      <c r="O100" s="132"/>
      <c r="P100" s="132"/>
      <c r="Q100" s="132"/>
      <c r="R100" s="132"/>
      <c r="S100" s="132"/>
      <c r="T100" s="132"/>
      <c r="U100" s="132"/>
      <c r="V100" s="132"/>
      <c r="W100" s="132"/>
      <c r="X100" s="18"/>
    </row>
    <row r="101" spans="1:24" ht="20.100000000000001" customHeight="1">
      <c r="A101" s="114"/>
      <c r="B101" s="9"/>
      <c r="C101" s="19"/>
      <c r="D101" s="40"/>
      <c r="E101" s="134"/>
      <c r="F101" s="134"/>
      <c r="G101" s="134"/>
      <c r="H101" s="134"/>
      <c r="I101" s="46" t="s">
        <v>99</v>
      </c>
      <c r="J101" s="133" t="s">
        <v>104</v>
      </c>
      <c r="K101" s="133"/>
      <c r="L101" s="133"/>
      <c r="M101" s="133"/>
      <c r="N101" s="133"/>
      <c r="O101" s="133"/>
      <c r="P101" s="133"/>
      <c r="Q101" s="133"/>
      <c r="R101" s="133"/>
      <c r="S101" s="133"/>
      <c r="T101" s="133"/>
      <c r="U101" s="133"/>
      <c r="V101" s="133"/>
      <c r="W101" s="133"/>
      <c r="X101" s="18"/>
    </row>
    <row r="102" spans="1:24" ht="20.100000000000001" customHeight="1">
      <c r="A102" s="114"/>
      <c r="B102" s="9"/>
      <c r="C102" s="16"/>
      <c r="D102" s="17">
        <v>5</v>
      </c>
      <c r="E102" s="130" t="s">
        <v>8</v>
      </c>
      <c r="F102" s="130"/>
      <c r="G102" s="130"/>
      <c r="H102" s="130"/>
      <c r="I102" s="131"/>
      <c r="J102" s="131"/>
      <c r="K102" s="131"/>
      <c r="L102" s="131"/>
      <c r="M102" s="131"/>
      <c r="N102" s="132"/>
      <c r="O102" s="132"/>
      <c r="P102" s="132"/>
      <c r="Q102" s="132"/>
      <c r="R102" s="132"/>
      <c r="S102" s="132"/>
      <c r="T102" s="132"/>
      <c r="U102" s="132"/>
      <c r="V102" s="132"/>
      <c r="W102" s="132"/>
      <c r="X102" s="18"/>
    </row>
    <row r="103" spans="1:24" ht="20.100000000000001" customHeight="1">
      <c r="A103" s="114"/>
      <c r="B103" s="9"/>
      <c r="C103" s="19"/>
      <c r="D103" s="40"/>
      <c r="E103" s="134"/>
      <c r="F103" s="134"/>
      <c r="G103" s="134"/>
      <c r="H103" s="134"/>
      <c r="I103" s="46" t="s">
        <v>99</v>
      </c>
      <c r="J103" s="133" t="s">
        <v>104</v>
      </c>
      <c r="K103" s="133"/>
      <c r="L103" s="133"/>
      <c r="M103" s="133"/>
      <c r="N103" s="133"/>
      <c r="O103" s="133"/>
      <c r="P103" s="133"/>
      <c r="Q103" s="133"/>
      <c r="R103" s="133"/>
      <c r="S103" s="133"/>
      <c r="T103" s="133"/>
      <c r="U103" s="133"/>
      <c r="V103" s="133"/>
      <c r="W103" s="133"/>
      <c r="X103" s="18"/>
    </row>
    <row r="104" spans="1:24" ht="20.100000000000001" customHeight="1">
      <c r="A104" s="114"/>
      <c r="B104" s="9"/>
      <c r="C104" s="16"/>
      <c r="D104" s="17">
        <v>6</v>
      </c>
      <c r="E104" s="130" t="s">
        <v>88</v>
      </c>
      <c r="F104" s="130"/>
      <c r="G104" s="130"/>
      <c r="H104" s="130"/>
      <c r="I104" s="131"/>
      <c r="J104" s="131"/>
      <c r="K104" s="131"/>
      <c r="L104" s="131"/>
      <c r="M104" s="131"/>
      <c r="N104" s="131"/>
      <c r="O104" s="131"/>
      <c r="P104" s="131"/>
      <c r="Q104" s="131"/>
      <c r="R104" s="131"/>
      <c r="S104" s="131"/>
      <c r="T104" s="131"/>
      <c r="U104" s="131"/>
      <c r="V104" s="131"/>
      <c r="W104" s="131"/>
      <c r="X104" s="18"/>
    </row>
    <row r="105" spans="1:24" ht="20.100000000000001" customHeight="1">
      <c r="A105" s="114"/>
      <c r="B105" s="9"/>
      <c r="C105" s="19"/>
      <c r="D105" s="40"/>
      <c r="E105" s="40"/>
      <c r="F105" s="40"/>
      <c r="G105" s="40"/>
      <c r="H105" s="40"/>
      <c r="I105" s="44" t="s">
        <v>99</v>
      </c>
      <c r="J105" s="139" t="s">
        <v>200</v>
      </c>
      <c r="K105" s="139"/>
      <c r="L105" s="139"/>
      <c r="M105" s="139"/>
      <c r="N105" s="139"/>
      <c r="O105" s="139"/>
      <c r="P105" s="139"/>
      <c r="Q105" s="139"/>
      <c r="R105" s="139"/>
      <c r="S105" s="139"/>
      <c r="T105" s="139"/>
      <c r="U105" s="139"/>
      <c r="V105" s="139"/>
      <c r="W105" s="139"/>
      <c r="X105" s="18"/>
    </row>
    <row r="106" spans="1:24" ht="5.0999999999999996" customHeight="1">
      <c r="A106" s="114"/>
      <c r="B106" s="9"/>
      <c r="C106" s="25"/>
      <c r="D106" s="26"/>
      <c r="E106" s="26"/>
      <c r="F106" s="26"/>
      <c r="G106" s="26"/>
      <c r="H106" s="26"/>
      <c r="I106" s="27"/>
      <c r="J106" s="27"/>
      <c r="K106" s="27"/>
      <c r="L106" s="56"/>
      <c r="M106" s="27"/>
      <c r="N106" s="27"/>
      <c r="O106" s="27"/>
      <c r="P106" s="27"/>
      <c r="Q106" s="27"/>
      <c r="R106" s="27"/>
      <c r="S106" s="27"/>
      <c r="T106" s="27"/>
      <c r="U106" s="27"/>
      <c r="V106" s="27"/>
      <c r="W106" s="27"/>
      <c r="X106" s="28"/>
    </row>
    <row r="107" spans="1:24" ht="9.9499999999999993" customHeight="1">
      <c r="A107" s="114"/>
      <c r="B107" s="9"/>
      <c r="C107" s="40"/>
      <c r="D107" s="40"/>
      <c r="E107" s="40"/>
      <c r="F107" s="40"/>
      <c r="G107" s="40"/>
      <c r="H107" s="40"/>
      <c r="I107" s="38"/>
      <c r="J107" s="38"/>
      <c r="K107" s="38"/>
      <c r="L107" s="55"/>
      <c r="M107" s="38"/>
      <c r="N107" s="38"/>
      <c r="O107" s="38"/>
      <c r="P107" s="38"/>
      <c r="Q107" s="38"/>
      <c r="R107" s="38"/>
      <c r="S107" s="38"/>
      <c r="T107" s="38"/>
      <c r="U107" s="38"/>
      <c r="V107" s="38"/>
      <c r="W107" s="38"/>
      <c r="X107" s="40"/>
    </row>
    <row r="108" spans="1:24" ht="9.9499999999999993" customHeight="1">
      <c r="A108" s="114"/>
      <c r="B108" s="9"/>
      <c r="C108" s="40"/>
      <c r="D108" s="40"/>
      <c r="E108" s="40"/>
      <c r="F108" s="40"/>
      <c r="G108" s="40"/>
      <c r="H108" s="40"/>
      <c r="I108" s="38"/>
      <c r="J108" s="40"/>
      <c r="K108" s="40"/>
      <c r="L108" s="124"/>
      <c r="M108" s="40"/>
      <c r="N108" s="40"/>
      <c r="O108" s="40"/>
      <c r="P108" s="40"/>
      <c r="Q108" s="40"/>
      <c r="R108" s="40"/>
      <c r="S108" s="40"/>
      <c r="T108" s="40"/>
      <c r="U108" s="40"/>
      <c r="V108" s="40"/>
      <c r="W108" s="40"/>
      <c r="X108" s="40"/>
    </row>
    <row r="109" spans="1:24" ht="20.100000000000001" customHeight="1">
      <c r="A109" s="114"/>
      <c r="B109" s="9"/>
      <c r="C109" s="142" t="s">
        <v>107</v>
      </c>
      <c r="D109" s="143"/>
      <c r="E109" s="143"/>
      <c r="F109" s="143"/>
      <c r="G109" s="143"/>
      <c r="H109" s="144"/>
    </row>
    <row r="110" spans="1:24" ht="8.1" customHeight="1">
      <c r="A110" s="114"/>
      <c r="B110" s="9"/>
      <c r="C110" s="12"/>
      <c r="D110" s="13"/>
      <c r="E110" s="13"/>
      <c r="F110" s="13"/>
      <c r="G110" s="13"/>
      <c r="H110" s="13"/>
      <c r="I110" s="14"/>
      <c r="J110" s="14"/>
      <c r="K110" s="14"/>
      <c r="L110" s="14"/>
      <c r="M110" s="14"/>
      <c r="N110" s="14"/>
      <c r="O110" s="14"/>
      <c r="P110" s="14"/>
      <c r="Q110" s="14"/>
      <c r="R110" s="14"/>
      <c r="S110" s="14"/>
      <c r="T110" s="14"/>
      <c r="U110" s="14"/>
      <c r="V110" s="14"/>
      <c r="W110" s="14"/>
      <c r="X110" s="15"/>
    </row>
    <row r="111" spans="1:24" ht="20.100000000000001" customHeight="1">
      <c r="A111" s="114">
        <f>IF(AND(I16="有",ISBLANK(I111)), 1, 0)</f>
        <v>0</v>
      </c>
      <c r="B111" s="9"/>
      <c r="C111" s="16"/>
      <c r="D111" s="17">
        <v>1</v>
      </c>
      <c r="E111" s="130" t="s">
        <v>1</v>
      </c>
      <c r="F111" s="130"/>
      <c r="G111" s="130"/>
      <c r="H111" s="130"/>
      <c r="I111" s="145"/>
      <c r="J111" s="145"/>
      <c r="K111" s="145"/>
      <c r="L111" s="145"/>
      <c r="M111" s="145"/>
      <c r="N111" s="132"/>
      <c r="O111" s="132"/>
      <c r="P111" s="132"/>
      <c r="Q111" s="132"/>
      <c r="R111" s="132"/>
      <c r="S111" s="132"/>
      <c r="T111" s="132"/>
      <c r="U111" s="132"/>
      <c r="V111" s="132"/>
      <c r="W111" s="132"/>
      <c r="X111" s="18"/>
    </row>
    <row r="112" spans="1:24" ht="20.100000000000001" customHeight="1">
      <c r="A112" s="114"/>
      <c r="B112" s="9"/>
      <c r="C112" s="16"/>
      <c r="D112" s="17"/>
      <c r="E112" s="134"/>
      <c r="F112" s="134"/>
      <c r="G112" s="134"/>
      <c r="H112" s="134"/>
      <c r="I112" s="44" t="s">
        <v>99</v>
      </c>
      <c r="J112" s="133" t="s">
        <v>219</v>
      </c>
      <c r="K112" s="133"/>
      <c r="L112" s="133"/>
      <c r="M112" s="133"/>
      <c r="N112" s="133"/>
      <c r="O112" s="133"/>
      <c r="P112" s="133"/>
      <c r="Q112" s="133"/>
      <c r="R112" s="133"/>
      <c r="S112" s="133"/>
      <c r="T112" s="133"/>
      <c r="U112" s="133"/>
      <c r="V112" s="133"/>
      <c r="W112" s="133"/>
      <c r="X112" s="18"/>
    </row>
    <row r="113" spans="1:24" ht="20.100000000000001" customHeight="1">
      <c r="A113" s="114">
        <f>IF(AND(I16="有", AND(I113&lt;&gt;"", OR(ISERROR(FIND("@"&amp;LEFT(I113,3)&amp;"@",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ISERROR(FIND("@"&amp;LEFT(I113,4)&amp;"@","@神奈川県@和歌山県@鹿児島県@"))=FALSE))=FALSE), 1001,0)</f>
        <v>0</v>
      </c>
      <c r="B113" s="9"/>
      <c r="C113" s="16"/>
      <c r="D113" s="17">
        <v>2</v>
      </c>
      <c r="E113" s="130" t="s">
        <v>2</v>
      </c>
      <c r="F113" s="130"/>
      <c r="G113" s="130"/>
      <c r="H113" s="130"/>
      <c r="I113" s="161"/>
      <c r="J113" s="161"/>
      <c r="K113" s="161"/>
      <c r="L113" s="161"/>
      <c r="M113" s="161"/>
      <c r="N113" s="161"/>
      <c r="O113" s="161"/>
      <c r="P113" s="161"/>
      <c r="Q113" s="161"/>
      <c r="R113" s="161"/>
      <c r="S113" s="161"/>
      <c r="T113" s="161"/>
      <c r="U113" s="161"/>
      <c r="V113" s="161"/>
      <c r="W113" s="161"/>
      <c r="X113" s="18"/>
    </row>
    <row r="114" spans="1:24" ht="20.100000000000001" customHeight="1">
      <c r="A114" s="114"/>
      <c r="B114" s="9"/>
      <c r="C114" s="16"/>
      <c r="D114" s="17"/>
      <c r="E114" s="134"/>
      <c r="F114" s="134"/>
      <c r="G114" s="134"/>
      <c r="H114" s="134"/>
      <c r="I114" s="46" t="s">
        <v>98</v>
      </c>
      <c r="J114" s="133" t="s">
        <v>192</v>
      </c>
      <c r="K114" s="133"/>
      <c r="L114" s="133"/>
      <c r="M114" s="133"/>
      <c r="N114" s="133"/>
      <c r="O114" s="133"/>
      <c r="P114" s="133"/>
      <c r="Q114" s="133"/>
      <c r="R114" s="133"/>
      <c r="S114" s="133"/>
      <c r="T114" s="133"/>
      <c r="U114" s="133"/>
      <c r="V114" s="133"/>
      <c r="W114" s="133"/>
      <c r="X114" s="18"/>
    </row>
    <row r="115" spans="1:24" ht="20.100000000000001" customHeight="1">
      <c r="A115" s="114"/>
      <c r="B115" s="9"/>
      <c r="C115" s="16"/>
      <c r="D115" s="17">
        <v>3</v>
      </c>
      <c r="E115" s="130" t="s">
        <v>12</v>
      </c>
      <c r="F115" s="130"/>
      <c r="G115" s="130"/>
      <c r="H115" s="130"/>
      <c r="I115" s="131"/>
      <c r="J115" s="131"/>
      <c r="K115" s="131"/>
      <c r="L115" s="131"/>
      <c r="M115" s="131"/>
      <c r="N115" s="131"/>
      <c r="O115" s="131"/>
      <c r="P115" s="131"/>
      <c r="Q115" s="131"/>
      <c r="R115" s="131"/>
      <c r="S115" s="131"/>
      <c r="T115" s="131"/>
      <c r="U115" s="131"/>
      <c r="V115" s="131"/>
      <c r="W115" s="131"/>
      <c r="X115" s="18"/>
    </row>
    <row r="116" spans="1:24" ht="20.100000000000001" customHeight="1">
      <c r="A116" s="114"/>
      <c r="B116" s="9"/>
      <c r="C116" s="16"/>
      <c r="D116" s="17"/>
      <c r="E116" s="134"/>
      <c r="F116" s="134"/>
      <c r="G116" s="134"/>
      <c r="H116" s="134"/>
      <c r="I116" s="44" t="s">
        <v>99</v>
      </c>
      <c r="J116" s="133" t="s">
        <v>103</v>
      </c>
      <c r="K116" s="133"/>
      <c r="L116" s="133"/>
      <c r="M116" s="133"/>
      <c r="N116" s="133"/>
      <c r="O116" s="133"/>
      <c r="P116" s="133"/>
      <c r="Q116" s="133"/>
      <c r="R116" s="133"/>
      <c r="S116" s="133"/>
      <c r="T116" s="133"/>
      <c r="U116" s="133"/>
      <c r="V116" s="133"/>
      <c r="W116" s="133"/>
      <c r="X116" s="18"/>
    </row>
    <row r="117" spans="1:24" ht="20.100000000000001" customHeight="1">
      <c r="A117" s="114">
        <f>IF(AND(I16="有",ISBLANK(I117)), 1, 0)</f>
        <v>0</v>
      </c>
      <c r="B117" s="9"/>
      <c r="C117" s="16"/>
      <c r="D117" s="17">
        <v>4</v>
      </c>
      <c r="E117" s="130" t="s">
        <v>13</v>
      </c>
      <c r="F117" s="130"/>
      <c r="G117" s="130"/>
      <c r="H117" s="130"/>
      <c r="I117" s="131"/>
      <c r="J117" s="131"/>
      <c r="K117" s="131"/>
      <c r="L117" s="131"/>
      <c r="M117" s="131"/>
      <c r="N117" s="131"/>
      <c r="O117" s="131"/>
      <c r="P117" s="131"/>
      <c r="Q117" s="131"/>
      <c r="R117" s="131"/>
      <c r="S117" s="131"/>
      <c r="T117" s="131"/>
      <c r="U117" s="131"/>
      <c r="V117" s="131"/>
      <c r="W117" s="131"/>
      <c r="X117" s="18"/>
    </row>
    <row r="118" spans="1:24" ht="20.100000000000001" customHeight="1">
      <c r="A118" s="114"/>
      <c r="B118" s="9"/>
      <c r="C118" s="19"/>
      <c r="D118" s="40"/>
      <c r="E118" s="134"/>
      <c r="F118" s="134"/>
      <c r="G118" s="134"/>
      <c r="H118" s="134"/>
      <c r="I118" s="44" t="s">
        <v>99</v>
      </c>
      <c r="J118" s="133" t="s">
        <v>105</v>
      </c>
      <c r="K118" s="133"/>
      <c r="L118" s="133"/>
      <c r="M118" s="133"/>
      <c r="N118" s="133"/>
      <c r="O118" s="133"/>
      <c r="P118" s="133"/>
      <c r="Q118" s="133"/>
      <c r="R118" s="133"/>
      <c r="S118" s="133"/>
      <c r="T118" s="133"/>
      <c r="U118" s="133"/>
      <c r="V118" s="133"/>
      <c r="W118" s="133"/>
      <c r="X118" s="18"/>
    </row>
    <row r="119" spans="1:24" ht="20.100000000000001" customHeight="1">
      <c r="A119" s="114">
        <f>IF(AND(I16="有",ISBLANK(I119)), 1, 0)</f>
        <v>0</v>
      </c>
      <c r="B119" s="9"/>
      <c r="C119" s="16"/>
      <c r="D119" s="17">
        <v>5</v>
      </c>
      <c r="E119" s="130" t="s">
        <v>7</v>
      </c>
      <c r="F119" s="130"/>
      <c r="G119" s="130"/>
      <c r="H119" s="130"/>
      <c r="I119" s="131"/>
      <c r="J119" s="131"/>
      <c r="K119" s="131"/>
      <c r="L119" s="131"/>
      <c r="M119" s="131"/>
      <c r="N119" s="132"/>
      <c r="O119" s="132"/>
      <c r="P119" s="132"/>
      <c r="Q119" s="132"/>
      <c r="R119" s="132"/>
      <c r="S119" s="132"/>
      <c r="T119" s="132"/>
      <c r="U119" s="132"/>
      <c r="V119" s="132"/>
      <c r="W119" s="132"/>
      <c r="X119" s="18"/>
    </row>
    <row r="120" spans="1:24" ht="20.100000000000001" customHeight="1">
      <c r="A120" s="114"/>
      <c r="B120" s="9"/>
      <c r="C120" s="19"/>
      <c r="D120" s="40"/>
      <c r="E120" s="134"/>
      <c r="F120" s="134"/>
      <c r="G120" s="134"/>
      <c r="H120" s="134"/>
      <c r="I120" s="44" t="s">
        <v>99</v>
      </c>
      <c r="J120" s="133" t="s">
        <v>104</v>
      </c>
      <c r="K120" s="133"/>
      <c r="L120" s="133"/>
      <c r="M120" s="133"/>
      <c r="N120" s="133"/>
      <c r="O120" s="133"/>
      <c r="P120" s="133"/>
      <c r="Q120" s="133"/>
      <c r="R120" s="133"/>
      <c r="S120" s="133"/>
      <c r="T120" s="133"/>
      <c r="U120" s="133"/>
      <c r="V120" s="133"/>
      <c r="W120" s="133"/>
      <c r="X120" s="18"/>
    </row>
    <row r="121" spans="1:24" ht="20.100000000000001" customHeight="1">
      <c r="A121" s="114"/>
      <c r="B121" s="9"/>
      <c r="C121" s="16"/>
      <c r="D121" s="17">
        <v>6</v>
      </c>
      <c r="E121" s="130" t="s">
        <v>8</v>
      </c>
      <c r="F121" s="130"/>
      <c r="G121" s="130"/>
      <c r="H121" s="130"/>
      <c r="I121" s="131"/>
      <c r="J121" s="131"/>
      <c r="K121" s="131"/>
      <c r="L121" s="131"/>
      <c r="M121" s="131"/>
      <c r="N121" s="132"/>
      <c r="O121" s="132"/>
      <c r="P121" s="132"/>
      <c r="Q121" s="132"/>
      <c r="R121" s="132"/>
      <c r="S121" s="132"/>
      <c r="T121" s="132"/>
      <c r="U121" s="132"/>
      <c r="V121" s="132"/>
      <c r="W121" s="132"/>
      <c r="X121" s="18"/>
    </row>
    <row r="122" spans="1:24" ht="20.100000000000001" customHeight="1">
      <c r="A122" s="114"/>
      <c r="B122" s="9"/>
      <c r="C122" s="19"/>
      <c r="D122" s="40"/>
      <c r="E122" s="134"/>
      <c r="F122" s="134"/>
      <c r="G122" s="134"/>
      <c r="H122" s="134"/>
      <c r="I122" s="44" t="s">
        <v>99</v>
      </c>
      <c r="J122" s="133" t="s">
        <v>104</v>
      </c>
      <c r="K122" s="133"/>
      <c r="L122" s="133"/>
      <c r="M122" s="133"/>
      <c r="N122" s="133"/>
      <c r="O122" s="133"/>
      <c r="P122" s="133"/>
      <c r="Q122" s="133"/>
      <c r="R122" s="133"/>
      <c r="S122" s="133"/>
      <c r="T122" s="133"/>
      <c r="U122" s="133"/>
      <c r="V122" s="133"/>
      <c r="W122" s="133"/>
      <c r="X122" s="18"/>
    </row>
    <row r="123" spans="1:24" ht="5.0999999999999996" customHeight="1">
      <c r="A123" s="114"/>
      <c r="B123" s="9"/>
      <c r="C123" s="25"/>
      <c r="D123" s="26"/>
      <c r="E123" s="170"/>
      <c r="F123" s="170"/>
      <c r="G123" s="170"/>
      <c r="H123" s="170"/>
      <c r="I123" s="27"/>
      <c r="J123" s="27"/>
      <c r="K123" s="27"/>
      <c r="L123" s="56"/>
      <c r="M123" s="27"/>
      <c r="N123" s="27"/>
      <c r="O123" s="27"/>
      <c r="P123" s="27"/>
      <c r="Q123" s="27"/>
      <c r="R123" s="27"/>
      <c r="S123" s="27"/>
      <c r="T123" s="27"/>
      <c r="U123" s="27"/>
      <c r="V123" s="27"/>
      <c r="W123" s="27"/>
      <c r="X123" s="28"/>
    </row>
    <row r="124" spans="1:24" ht="9.9499999999999993" customHeight="1">
      <c r="A124" s="114"/>
      <c r="B124" s="9"/>
      <c r="C124" s="40"/>
      <c r="D124" s="40"/>
      <c r="E124" s="40"/>
      <c r="F124" s="40"/>
      <c r="G124" s="40"/>
      <c r="H124" s="40"/>
      <c r="I124" s="38"/>
      <c r="J124" s="38"/>
      <c r="K124" s="38"/>
      <c r="L124" s="55"/>
      <c r="M124" s="38"/>
      <c r="N124" s="38"/>
      <c r="O124" s="38"/>
      <c r="P124" s="38"/>
      <c r="Q124" s="38"/>
      <c r="R124" s="38"/>
      <c r="S124" s="38"/>
      <c r="T124" s="38"/>
      <c r="U124" s="38"/>
      <c r="V124" s="38"/>
      <c r="W124" s="38"/>
      <c r="X124" s="40"/>
    </row>
    <row r="125" spans="1:24" s="8" customFormat="1" ht="9.9499999999999993" customHeight="1">
      <c r="A125" s="114"/>
      <c r="B125" s="9"/>
      <c r="C125" s="53"/>
      <c r="D125" s="53"/>
      <c r="E125" s="53"/>
      <c r="F125" s="53"/>
      <c r="G125" s="53"/>
      <c r="H125" s="53"/>
      <c r="I125" s="55"/>
      <c r="J125" s="128"/>
      <c r="K125" s="128"/>
      <c r="L125" s="128"/>
      <c r="M125" s="128"/>
      <c r="N125" s="128"/>
      <c r="O125" s="128"/>
      <c r="P125" s="128"/>
      <c r="Q125" s="128"/>
      <c r="R125" s="128"/>
      <c r="S125" s="128"/>
      <c r="T125" s="128"/>
      <c r="U125" s="128"/>
      <c r="V125" s="128"/>
      <c r="W125" s="128"/>
      <c r="X125" s="53"/>
    </row>
    <row r="126" spans="1:24" s="8" customFormat="1" ht="20.100000000000001" customHeight="1">
      <c r="A126" s="114"/>
      <c r="B126" s="9"/>
      <c r="C126" s="142" t="s">
        <v>125</v>
      </c>
      <c r="D126" s="143"/>
      <c r="E126" s="143"/>
      <c r="F126" s="143"/>
      <c r="G126" s="143"/>
      <c r="H126" s="144"/>
      <c r="I126" s="21"/>
      <c r="J126" s="21"/>
      <c r="K126" s="21"/>
      <c r="L126" s="21"/>
      <c r="M126" s="21"/>
      <c r="N126" s="21"/>
      <c r="O126" s="21"/>
      <c r="P126" s="21"/>
      <c r="Q126" s="21"/>
      <c r="R126" s="21"/>
      <c r="S126" s="21"/>
      <c r="T126" s="21"/>
      <c r="U126" s="21"/>
      <c r="V126" s="21"/>
      <c r="W126" s="21"/>
    </row>
    <row r="127" spans="1:24" s="8" customFormat="1" ht="32.1" customHeight="1">
      <c r="A127" s="114"/>
      <c r="B127" s="9"/>
      <c r="C127" s="12"/>
      <c r="D127" s="256" t="s">
        <v>245</v>
      </c>
      <c r="E127" s="257"/>
      <c r="F127" s="257"/>
      <c r="G127" s="257"/>
      <c r="H127" s="257"/>
      <c r="I127" s="257"/>
      <c r="J127" s="257"/>
      <c r="K127" s="257"/>
      <c r="L127" s="257"/>
      <c r="M127" s="257"/>
      <c r="N127" s="257"/>
      <c r="O127" s="257"/>
      <c r="P127" s="257"/>
      <c r="Q127" s="257"/>
      <c r="R127" s="257"/>
      <c r="S127" s="257"/>
      <c r="T127" s="257"/>
      <c r="U127" s="257"/>
      <c r="V127" s="257"/>
      <c r="W127" s="257"/>
      <c r="X127" s="15"/>
    </row>
    <row r="128" spans="1:24" s="8" customFormat="1" ht="20.100000000000001" customHeight="1">
      <c r="A128" s="114"/>
      <c r="B128" s="9"/>
      <c r="C128" s="12"/>
      <c r="D128" s="60"/>
      <c r="E128" s="220" t="s">
        <v>121</v>
      </c>
      <c r="F128" s="220"/>
      <c r="G128" s="221"/>
      <c r="H128" s="214" t="s">
        <v>122</v>
      </c>
      <c r="I128" s="215"/>
      <c r="J128" s="216"/>
      <c r="K128" s="205" t="s">
        <v>246</v>
      </c>
      <c r="L128" s="206"/>
      <c r="M128" s="206"/>
      <c r="N128" s="207"/>
      <c r="O128" s="258"/>
      <c r="P128" s="259"/>
      <c r="Q128" s="259"/>
      <c r="R128" s="259"/>
      <c r="S128" s="259"/>
      <c r="T128" s="259"/>
      <c r="U128" s="259"/>
      <c r="V128" s="259"/>
      <c r="W128" s="259"/>
      <c r="X128" s="34"/>
    </row>
    <row r="129" spans="1:25" s="8" customFormat="1" ht="20.100000000000001" customHeight="1">
      <c r="A129" s="114">
        <f>IF(AND(H129="取得", K129=""), 101, 0)</f>
        <v>0</v>
      </c>
      <c r="B129" s="9"/>
      <c r="C129" s="12"/>
      <c r="D129" s="64">
        <v>1</v>
      </c>
      <c r="E129" s="194" t="s">
        <v>123</v>
      </c>
      <c r="F129" s="194"/>
      <c r="G129" s="195"/>
      <c r="H129" s="246"/>
      <c r="I129" s="247"/>
      <c r="J129" s="248"/>
      <c r="K129" s="208"/>
      <c r="L129" s="209"/>
      <c r="M129" s="209"/>
      <c r="N129" s="210"/>
      <c r="O129" s="258"/>
      <c r="P129" s="259"/>
      <c r="Q129" s="259"/>
      <c r="R129" s="259"/>
      <c r="S129" s="259"/>
      <c r="T129" s="259"/>
      <c r="U129" s="259"/>
      <c r="V129" s="259"/>
      <c r="W129" s="259"/>
      <c r="X129" s="34"/>
    </row>
    <row r="130" spans="1:25" s="8" customFormat="1" ht="20.100000000000001" customHeight="1">
      <c r="A130" s="114">
        <f>IF(AND(H130="取得", K130=""), 101, 0)</f>
        <v>0</v>
      </c>
      <c r="B130" s="9"/>
      <c r="C130" s="16"/>
      <c r="D130" s="65">
        <v>2</v>
      </c>
      <c r="E130" s="224" t="s">
        <v>124</v>
      </c>
      <c r="F130" s="224"/>
      <c r="G130" s="225"/>
      <c r="H130" s="249"/>
      <c r="I130" s="250"/>
      <c r="J130" s="251"/>
      <c r="K130" s="211"/>
      <c r="L130" s="212"/>
      <c r="M130" s="212"/>
      <c r="N130" s="213"/>
      <c r="O130" s="258"/>
      <c r="P130" s="259"/>
      <c r="Q130" s="259"/>
      <c r="R130" s="259"/>
      <c r="S130" s="259"/>
      <c r="T130" s="259"/>
      <c r="U130" s="259"/>
      <c r="V130" s="259"/>
      <c r="W130" s="259"/>
      <c r="X130" s="34"/>
    </row>
    <row r="131" spans="1:25" s="8" customFormat="1" ht="3" customHeight="1">
      <c r="A131" s="114"/>
      <c r="B131" s="9"/>
      <c r="C131" s="25"/>
      <c r="D131" s="129"/>
      <c r="E131" s="198"/>
      <c r="F131" s="199"/>
      <c r="G131" s="199"/>
      <c r="H131" s="199"/>
      <c r="I131" s="199"/>
      <c r="J131" s="199"/>
      <c r="K131" s="199"/>
      <c r="L131" s="199"/>
      <c r="M131" s="199"/>
      <c r="N131" s="199"/>
      <c r="O131" s="199"/>
      <c r="P131" s="199"/>
      <c r="Q131" s="199"/>
      <c r="R131" s="199"/>
      <c r="S131" s="199"/>
      <c r="T131" s="199"/>
      <c r="U131" s="199"/>
      <c r="V131" s="199"/>
      <c r="W131" s="199"/>
      <c r="X131" s="28"/>
    </row>
    <row r="132" spans="1:25" s="8" customFormat="1" ht="9.9499999999999993" customHeight="1">
      <c r="A132" s="114"/>
      <c r="B132" s="9"/>
      <c r="C132" s="53"/>
      <c r="D132" s="53"/>
      <c r="E132" s="53"/>
      <c r="F132" s="53"/>
      <c r="G132" s="53"/>
      <c r="H132" s="53"/>
      <c r="I132" s="53"/>
      <c r="J132" s="55"/>
      <c r="K132" s="55"/>
      <c r="L132" s="55"/>
      <c r="M132" s="55"/>
      <c r="N132" s="55"/>
      <c r="O132" s="55"/>
      <c r="P132" s="55"/>
      <c r="Q132" s="55"/>
      <c r="R132" s="55"/>
      <c r="S132" s="55"/>
      <c r="T132" s="55"/>
      <c r="U132" s="55"/>
      <c r="V132" s="55"/>
      <c r="W132" s="55"/>
      <c r="X132" s="55"/>
      <c r="Y132" s="53"/>
    </row>
    <row r="133" spans="1:25" s="8" customFormat="1" ht="9.9499999999999993" customHeight="1">
      <c r="A133" s="114"/>
      <c r="B133" s="9"/>
      <c r="C133" s="40"/>
      <c r="D133" s="40"/>
      <c r="E133" s="40"/>
      <c r="F133" s="40"/>
      <c r="G133" s="40"/>
      <c r="H133" s="40"/>
      <c r="I133" s="40"/>
      <c r="J133" s="38"/>
      <c r="K133" s="38"/>
      <c r="L133" s="55"/>
      <c r="M133" s="40"/>
      <c r="N133" s="40"/>
      <c r="O133" s="40"/>
      <c r="P133" s="40"/>
      <c r="Q133" s="40"/>
      <c r="R133" s="40"/>
      <c r="S133" s="40"/>
      <c r="T133" s="40"/>
      <c r="U133" s="40"/>
      <c r="V133" s="40"/>
      <c r="W133" s="40"/>
      <c r="X133" s="40"/>
      <c r="Y133" s="40"/>
    </row>
    <row r="134" spans="1:25" s="8" customFormat="1" ht="20.100000000000001" customHeight="1">
      <c r="A134" s="114"/>
      <c r="B134" s="9"/>
      <c r="C134" s="142" t="s">
        <v>108</v>
      </c>
      <c r="D134" s="143"/>
      <c r="E134" s="143"/>
      <c r="F134" s="143"/>
      <c r="G134" s="143"/>
      <c r="H134" s="143"/>
      <c r="I134" s="144"/>
      <c r="L134" s="125"/>
    </row>
    <row r="135" spans="1:25" s="8" customFormat="1" ht="8.1" customHeight="1">
      <c r="A135" s="114"/>
      <c r="B135" s="9"/>
      <c r="C135" s="12"/>
      <c r="D135" s="13"/>
      <c r="E135" s="13"/>
      <c r="F135" s="13"/>
      <c r="G135" s="13"/>
      <c r="H135" s="13"/>
      <c r="I135" s="13"/>
      <c r="J135" s="14"/>
      <c r="K135" s="14"/>
      <c r="L135" s="14"/>
      <c r="M135" s="14"/>
      <c r="N135" s="14"/>
      <c r="O135" s="14"/>
      <c r="P135" s="14"/>
      <c r="Q135" s="14"/>
      <c r="R135" s="14"/>
      <c r="S135" s="14"/>
      <c r="T135" s="14"/>
      <c r="U135" s="14"/>
      <c r="V135" s="14"/>
      <c r="W135" s="14"/>
      <c r="X135" s="15"/>
    </row>
    <row r="136" spans="1:25" s="8" customFormat="1" ht="27.95" customHeight="1">
      <c r="A136" s="114"/>
      <c r="B136" s="9"/>
      <c r="C136" s="12"/>
      <c r="D136" s="139" t="s">
        <v>249</v>
      </c>
      <c r="E136" s="133"/>
      <c r="F136" s="133"/>
      <c r="G136" s="133"/>
      <c r="H136" s="133"/>
      <c r="I136" s="133"/>
      <c r="J136" s="133"/>
      <c r="K136" s="133"/>
      <c r="L136" s="133"/>
      <c r="M136" s="133"/>
      <c r="N136" s="133"/>
      <c r="O136" s="133"/>
      <c r="P136" s="133"/>
      <c r="Q136" s="133"/>
      <c r="R136" s="133"/>
      <c r="S136" s="133"/>
      <c r="T136" s="133"/>
      <c r="U136" s="133"/>
      <c r="V136" s="133"/>
      <c r="W136" s="133"/>
      <c r="X136" s="18"/>
    </row>
    <row r="137" spans="1:25" s="8" customFormat="1" ht="30" customHeight="1">
      <c r="A137" s="114"/>
      <c r="B137" s="9"/>
      <c r="C137" s="12"/>
      <c r="D137" s="139" t="s">
        <v>252</v>
      </c>
      <c r="E137" s="133"/>
      <c r="F137" s="133"/>
      <c r="G137" s="133"/>
      <c r="H137" s="133"/>
      <c r="I137" s="133"/>
      <c r="J137" s="133"/>
      <c r="K137" s="133"/>
      <c r="L137" s="133"/>
      <c r="M137" s="133"/>
      <c r="N137" s="133"/>
      <c r="O137" s="133"/>
      <c r="P137" s="133"/>
      <c r="Q137" s="133"/>
      <c r="R137" s="133"/>
      <c r="S137" s="133"/>
      <c r="T137" s="133"/>
      <c r="U137" s="133"/>
      <c r="V137" s="133"/>
      <c r="W137" s="133"/>
      <c r="X137" s="18"/>
    </row>
    <row r="138" spans="1:25" s="8" customFormat="1" ht="20.100000000000001" customHeight="1">
      <c r="A138" s="114"/>
      <c r="B138" s="9"/>
      <c r="C138" s="12"/>
      <c r="D138" s="185" t="s">
        <v>109</v>
      </c>
      <c r="E138" s="186"/>
      <c r="F138" s="186"/>
      <c r="G138" s="186"/>
      <c r="H138" s="187"/>
      <c r="I138" s="181" t="s">
        <v>225</v>
      </c>
      <c r="J138" s="182"/>
      <c r="K138" s="260" t="s">
        <v>248</v>
      </c>
      <c r="L138" s="261"/>
      <c r="M138" s="252" t="s">
        <v>15</v>
      </c>
      <c r="N138" s="253"/>
      <c r="O138" s="200" t="s">
        <v>251</v>
      </c>
      <c r="P138" s="201"/>
      <c r="Q138" s="202"/>
      <c r="R138" s="230" t="s">
        <v>250</v>
      </c>
      <c r="S138" s="231"/>
      <c r="T138" s="175" t="s">
        <v>113</v>
      </c>
      <c r="U138" s="176"/>
      <c r="V138" s="177"/>
      <c r="W138" s="61"/>
      <c r="X138" s="34"/>
    </row>
    <row r="139" spans="1:25" s="8" customFormat="1" ht="26.1" customHeight="1">
      <c r="A139" s="114"/>
      <c r="B139" s="9"/>
      <c r="C139" s="16"/>
      <c r="D139" s="188"/>
      <c r="E139" s="189"/>
      <c r="F139" s="189"/>
      <c r="G139" s="189"/>
      <c r="H139" s="190"/>
      <c r="I139" s="183"/>
      <c r="J139" s="184"/>
      <c r="K139" s="262"/>
      <c r="L139" s="263"/>
      <c r="M139" s="254"/>
      <c r="N139" s="255"/>
      <c r="O139" s="123" t="s">
        <v>228</v>
      </c>
      <c r="P139" s="123" t="s">
        <v>227</v>
      </c>
      <c r="Q139" s="123" t="s">
        <v>226</v>
      </c>
      <c r="R139" s="123" t="s">
        <v>228</v>
      </c>
      <c r="S139" s="123" t="s">
        <v>227</v>
      </c>
      <c r="T139" s="178"/>
      <c r="U139" s="179"/>
      <c r="V139" s="180"/>
      <c r="W139" s="61"/>
      <c r="X139" s="18"/>
      <c r="Y139" s="40"/>
    </row>
    <row r="140" spans="1:25" s="8" customFormat="1" ht="20.100000000000001" customHeight="1">
      <c r="A140" s="114">
        <f>IF(AND(I140="する", OR(AND(K140&lt;&gt;"一般", K140&lt;&gt;"特定", K140&lt;&gt;"両方"), M140="", O140="", P140="", Q140="", R140="", S140="", T140="", T140&lt;5000)), 1105,0)</f>
        <v>0</v>
      </c>
      <c r="B140" s="9"/>
      <c r="C140" s="16"/>
      <c r="D140" s="35">
        <v>1</v>
      </c>
      <c r="E140" s="222" t="s">
        <v>229</v>
      </c>
      <c r="F140" s="222"/>
      <c r="G140" s="222"/>
      <c r="H140" s="223"/>
      <c r="I140" s="264"/>
      <c r="J140" s="227"/>
      <c r="K140" s="226"/>
      <c r="L140" s="227"/>
      <c r="M140" s="196"/>
      <c r="N140" s="197"/>
      <c r="O140" s="57"/>
      <c r="P140" s="58"/>
      <c r="Q140" s="58"/>
      <c r="R140" s="57"/>
      <c r="S140" s="58"/>
      <c r="T140" s="191"/>
      <c r="U140" s="192"/>
      <c r="V140" s="193"/>
      <c r="W140" s="62"/>
      <c r="X140" s="18"/>
      <c r="Y140" s="40"/>
    </row>
    <row r="141" spans="1:25" s="8" customFormat="1" ht="20.100000000000001" customHeight="1">
      <c r="A141" s="114">
        <f>IF(AND(I141="する", OR(M141="", O141="", P141="", Q141="", R141="", S141="", T141="")), 1104,0)</f>
        <v>0</v>
      </c>
      <c r="B141" s="9"/>
      <c r="C141" s="16"/>
      <c r="D141" s="36">
        <v>2</v>
      </c>
      <c r="E141" s="157" t="s">
        <v>110</v>
      </c>
      <c r="F141" s="157"/>
      <c r="G141" s="157"/>
      <c r="H141" s="158"/>
      <c r="I141" s="156"/>
      <c r="J141" s="141"/>
      <c r="K141" s="228"/>
      <c r="L141" s="229"/>
      <c r="M141" s="135"/>
      <c r="N141" s="136"/>
      <c r="O141" s="52"/>
      <c r="P141" s="101"/>
      <c r="Q141" s="101"/>
      <c r="R141" s="52"/>
      <c r="S141" s="101"/>
      <c r="T141" s="150"/>
      <c r="U141" s="151"/>
      <c r="V141" s="152"/>
      <c r="W141" s="63"/>
      <c r="X141" s="18"/>
      <c r="Y141" s="40"/>
    </row>
    <row r="142" spans="1:25" s="8" customFormat="1" ht="20.100000000000001" customHeight="1">
      <c r="A142" s="114">
        <f>IF(AND(I142="する", OR(AND(K142&lt;&gt;"一般", K142&lt;&gt;"特定", K142&lt;&gt;"両方"), M142="", O142="", P142="", Q142="", R142="", S142="", T142="", T142&lt;5000)), 1105,0)</f>
        <v>0</v>
      </c>
      <c r="B142" s="9"/>
      <c r="C142" s="16"/>
      <c r="D142" s="36">
        <v>3</v>
      </c>
      <c r="E142" s="157" t="s">
        <v>230</v>
      </c>
      <c r="F142" s="157"/>
      <c r="G142" s="157"/>
      <c r="H142" s="158"/>
      <c r="I142" s="156"/>
      <c r="J142" s="141"/>
      <c r="K142" s="140"/>
      <c r="L142" s="141"/>
      <c r="M142" s="135"/>
      <c r="N142" s="136"/>
      <c r="O142" s="52"/>
      <c r="P142" s="101"/>
      <c r="Q142" s="101"/>
      <c r="R142" s="52"/>
      <c r="S142" s="101"/>
      <c r="T142" s="150"/>
      <c r="U142" s="151"/>
      <c r="V142" s="152"/>
      <c r="W142" s="63"/>
      <c r="X142" s="18"/>
      <c r="Y142" s="126"/>
    </row>
    <row r="143" spans="1:25" s="8" customFormat="1" ht="20.100000000000001" customHeight="1">
      <c r="A143" s="114">
        <f>IF(AND(I143="する", OR(AND(K143&lt;&gt;"一般", K143&lt;&gt;"特定", K143&lt;&gt;"両方"), M143="", O143="", P143="", Q143="", R143="", S143="", T143="")), 1103,0)</f>
        <v>0</v>
      </c>
      <c r="B143" s="9"/>
      <c r="C143" s="16"/>
      <c r="D143" s="36">
        <v>4</v>
      </c>
      <c r="E143" s="157" t="s">
        <v>16</v>
      </c>
      <c r="F143" s="157"/>
      <c r="G143" s="157"/>
      <c r="H143" s="158"/>
      <c r="I143" s="156"/>
      <c r="J143" s="141"/>
      <c r="K143" s="140"/>
      <c r="L143" s="141"/>
      <c r="M143" s="135"/>
      <c r="N143" s="136"/>
      <c r="O143" s="52"/>
      <c r="P143" s="101"/>
      <c r="Q143" s="101"/>
      <c r="R143" s="52"/>
      <c r="S143" s="101"/>
      <c r="T143" s="150"/>
      <c r="U143" s="151"/>
      <c r="V143" s="152"/>
      <c r="W143" s="63"/>
      <c r="X143" s="18"/>
      <c r="Y143" s="40"/>
    </row>
    <row r="144" spans="1:25" s="8" customFormat="1" ht="20.100000000000001" customHeight="1">
      <c r="A144" s="114">
        <f>IF(AND(I144="する", OR(AND(K144&lt;&gt;"一般", K144&lt;&gt;"特定", K144&lt;&gt;"両方"), M144="", O144="", P144="", Q144="", R144="", S144="", T144="")), 1103,0)</f>
        <v>0</v>
      </c>
      <c r="B144" s="9"/>
      <c r="C144" s="16"/>
      <c r="D144" s="36">
        <v>5</v>
      </c>
      <c r="E144" s="157" t="s">
        <v>17</v>
      </c>
      <c r="F144" s="157"/>
      <c r="G144" s="157"/>
      <c r="H144" s="158"/>
      <c r="I144" s="156"/>
      <c r="J144" s="141"/>
      <c r="K144" s="140"/>
      <c r="L144" s="141"/>
      <c r="M144" s="135"/>
      <c r="N144" s="136"/>
      <c r="O144" s="52"/>
      <c r="P144" s="101"/>
      <c r="Q144" s="101"/>
      <c r="R144" s="52"/>
      <c r="S144" s="101"/>
      <c r="T144" s="150"/>
      <c r="U144" s="151"/>
      <c r="V144" s="152"/>
      <c r="W144" s="63"/>
      <c r="X144" s="18"/>
      <c r="Y144" s="40"/>
    </row>
    <row r="145" spans="1:25" s="8" customFormat="1" ht="20.100000000000001" customHeight="1">
      <c r="A145" s="114">
        <f>IF(AND(I145="する", OR(AND(K145&lt;&gt;"一般", K145&lt;&gt;"特定", K145&lt;&gt;"両方"), M145="", O145="", P145="", Q145="", R145="", S145="", T145="", T145&lt;0)), 1106,0)</f>
        <v>0</v>
      </c>
      <c r="B145" s="9"/>
      <c r="C145" s="16"/>
      <c r="D145" s="36">
        <v>6</v>
      </c>
      <c r="E145" s="157" t="s">
        <v>231</v>
      </c>
      <c r="F145" s="157"/>
      <c r="G145" s="157"/>
      <c r="H145" s="158"/>
      <c r="I145" s="156"/>
      <c r="J145" s="141"/>
      <c r="K145" s="140"/>
      <c r="L145" s="141"/>
      <c r="M145" s="135"/>
      <c r="N145" s="136"/>
      <c r="O145" s="52"/>
      <c r="P145" s="101"/>
      <c r="Q145" s="101"/>
      <c r="R145" s="52"/>
      <c r="S145" s="101"/>
      <c r="T145" s="150"/>
      <c r="U145" s="151"/>
      <c r="V145" s="152"/>
      <c r="W145" s="63"/>
      <c r="X145" s="18"/>
      <c r="Y145" s="40"/>
    </row>
    <row r="146" spans="1:25" s="8" customFormat="1" ht="20.100000000000001" customHeight="1">
      <c r="A146" s="114">
        <f>IF(AND(I146="する", OR(M146="", O146="", P146="", Q146="", R146="", S146="", T146="")), 1104,0)</f>
        <v>0</v>
      </c>
      <c r="B146" s="9"/>
      <c r="C146" s="16"/>
      <c r="D146" s="36">
        <v>7</v>
      </c>
      <c r="E146" s="157" t="s">
        <v>173</v>
      </c>
      <c r="F146" s="157"/>
      <c r="G146" s="157"/>
      <c r="H146" s="158"/>
      <c r="I146" s="156"/>
      <c r="J146" s="141"/>
      <c r="K146" s="228"/>
      <c r="L146" s="229"/>
      <c r="M146" s="135"/>
      <c r="N146" s="136"/>
      <c r="O146" s="52"/>
      <c r="P146" s="101"/>
      <c r="Q146" s="101"/>
      <c r="R146" s="52"/>
      <c r="S146" s="101"/>
      <c r="T146" s="150"/>
      <c r="U146" s="151"/>
      <c r="V146" s="152"/>
      <c r="W146" s="63"/>
      <c r="X146" s="18"/>
      <c r="Y146" s="40"/>
    </row>
    <row r="147" spans="1:25" s="8" customFormat="1" ht="20.100000000000001" customHeight="1">
      <c r="A147" s="114">
        <f>IF(AND(I147="する", OR(AND(K147&lt;&gt;"一般", K147&lt;&gt;"特定", K147&lt;&gt;"両方"), M147="", O147="", P147="", Q147="", R147="", S147="", T147="")), 1103,0)</f>
        <v>0</v>
      </c>
      <c r="B147" s="9"/>
      <c r="C147" s="16"/>
      <c r="D147" s="36">
        <v>8</v>
      </c>
      <c r="E147" s="157" t="s">
        <v>18</v>
      </c>
      <c r="F147" s="157"/>
      <c r="G147" s="157"/>
      <c r="H147" s="158"/>
      <c r="I147" s="156"/>
      <c r="J147" s="141"/>
      <c r="K147" s="140"/>
      <c r="L147" s="141"/>
      <c r="M147" s="135"/>
      <c r="N147" s="136"/>
      <c r="O147" s="52"/>
      <c r="P147" s="101"/>
      <c r="Q147" s="101"/>
      <c r="R147" s="52"/>
      <c r="S147" s="101"/>
      <c r="T147" s="150"/>
      <c r="U147" s="151"/>
      <c r="V147" s="152"/>
      <c r="W147" s="63"/>
      <c r="X147" s="18"/>
      <c r="Y147" s="40"/>
    </row>
    <row r="148" spans="1:25" s="8" customFormat="1" ht="20.100000000000001" customHeight="1">
      <c r="A148" s="114">
        <f>IF(AND(I148="する", OR(AND(K148&lt;&gt;"一般", K148&lt;&gt;"特定", K148&lt;&gt;"両方"), M148="", O148="", P148="", Q148="", R148="", S148="", T148="")), 1103,0)</f>
        <v>0</v>
      </c>
      <c r="B148" s="9"/>
      <c r="C148" s="16"/>
      <c r="D148" s="36">
        <v>9</v>
      </c>
      <c r="E148" s="157" t="s">
        <v>19</v>
      </c>
      <c r="F148" s="157"/>
      <c r="G148" s="157"/>
      <c r="H148" s="158"/>
      <c r="I148" s="156"/>
      <c r="J148" s="141"/>
      <c r="K148" s="140"/>
      <c r="L148" s="141"/>
      <c r="M148" s="135"/>
      <c r="N148" s="136"/>
      <c r="O148" s="52"/>
      <c r="P148" s="101"/>
      <c r="Q148" s="101"/>
      <c r="R148" s="52"/>
      <c r="S148" s="101"/>
      <c r="T148" s="150"/>
      <c r="U148" s="151"/>
      <c r="V148" s="152"/>
      <c r="W148" s="63"/>
      <c r="X148" s="18"/>
      <c r="Y148" s="40"/>
    </row>
    <row r="149" spans="1:25" s="8" customFormat="1" ht="20.100000000000001" customHeight="1">
      <c r="A149" s="114">
        <f>IF(AND(I149="する", OR(AND(K149&lt;&gt;"一般", K149&lt;&gt;"特定", K149&lt;&gt;"両方"), M149="", O149="", P149="", Q149="", R149="", S149="", T149="", T149&lt;5000)), 1105,0)</f>
        <v>0</v>
      </c>
      <c r="B149" s="9"/>
      <c r="C149" s="16"/>
      <c r="D149" s="36">
        <v>10</v>
      </c>
      <c r="E149" s="157" t="s">
        <v>232</v>
      </c>
      <c r="F149" s="157"/>
      <c r="G149" s="157"/>
      <c r="H149" s="158"/>
      <c r="I149" s="156"/>
      <c r="J149" s="141"/>
      <c r="K149" s="140"/>
      <c r="L149" s="141"/>
      <c r="M149" s="135"/>
      <c r="N149" s="136"/>
      <c r="O149" s="52"/>
      <c r="P149" s="101"/>
      <c r="Q149" s="101"/>
      <c r="R149" s="52"/>
      <c r="S149" s="101"/>
      <c r="T149" s="150"/>
      <c r="U149" s="151"/>
      <c r="V149" s="152"/>
      <c r="W149" s="63"/>
      <c r="X149" s="18"/>
      <c r="Y149" s="40"/>
    </row>
    <row r="150" spans="1:25" s="8" customFormat="1" ht="20.100000000000001" customHeight="1">
      <c r="A150" s="114">
        <f>IF(AND(I150="する", OR(AND(K150&lt;&gt;"一般", K150&lt;&gt;"特定", K150&lt;&gt;"両方"), M150="", O150="", P150="", Q150="", R150="", S150="", T150="", T150&lt;5000)), 1105,0)</f>
        <v>0</v>
      </c>
      <c r="B150" s="9"/>
      <c r="C150" s="16"/>
      <c r="D150" s="36">
        <v>11</v>
      </c>
      <c r="E150" s="157" t="s">
        <v>233</v>
      </c>
      <c r="F150" s="157"/>
      <c r="G150" s="157"/>
      <c r="H150" s="158"/>
      <c r="I150" s="156"/>
      <c r="J150" s="141"/>
      <c r="K150" s="140"/>
      <c r="L150" s="141"/>
      <c r="M150" s="135"/>
      <c r="N150" s="136"/>
      <c r="O150" s="52"/>
      <c r="P150" s="101"/>
      <c r="Q150" s="101"/>
      <c r="R150" s="52"/>
      <c r="S150" s="101"/>
      <c r="T150" s="150"/>
      <c r="U150" s="151"/>
      <c r="V150" s="152"/>
      <c r="W150" s="63"/>
      <c r="X150" s="18"/>
      <c r="Y150" s="40"/>
    </row>
    <row r="151" spans="1:25" s="8" customFormat="1" ht="20.100000000000001" customHeight="1">
      <c r="A151" s="114">
        <f>IF(AND(I151="する", OR(AND(K151&lt;&gt;"一般", K151&lt;&gt;"特定", K151&lt;&gt;"両方"), M151="", O151="", P151="", Q151="", R151="", S151="", T151="")), 1103,0)</f>
        <v>0</v>
      </c>
      <c r="B151" s="9"/>
      <c r="C151" s="16"/>
      <c r="D151" s="36">
        <v>12</v>
      </c>
      <c r="E151" s="157" t="s">
        <v>20</v>
      </c>
      <c r="F151" s="157"/>
      <c r="G151" s="157"/>
      <c r="H151" s="158"/>
      <c r="I151" s="156"/>
      <c r="J151" s="141"/>
      <c r="K151" s="140"/>
      <c r="L151" s="141"/>
      <c r="M151" s="135"/>
      <c r="N151" s="136"/>
      <c r="O151" s="52"/>
      <c r="P151" s="101"/>
      <c r="Q151" s="101"/>
      <c r="R151" s="52"/>
      <c r="S151" s="101"/>
      <c r="T151" s="150"/>
      <c r="U151" s="151"/>
      <c r="V151" s="152"/>
      <c r="W151" s="63"/>
      <c r="X151" s="18"/>
      <c r="Y151" s="40"/>
    </row>
    <row r="152" spans="1:25" s="8" customFormat="1" ht="20.100000000000001" customHeight="1">
      <c r="A152" s="114">
        <f>IF(AND(I152="する", OR(AND(K152&lt;&gt;"一般", K152&lt;&gt;"特定", K152&lt;&gt;"両方"), M152="", O152="", P152="", Q152="", R152="", S152="", T152="", T152&lt;0)), 1106,0)</f>
        <v>0</v>
      </c>
      <c r="B152" s="9"/>
      <c r="C152" s="16"/>
      <c r="D152" s="36">
        <v>13</v>
      </c>
      <c r="E152" s="157" t="s">
        <v>234</v>
      </c>
      <c r="F152" s="157"/>
      <c r="G152" s="157"/>
      <c r="H152" s="158"/>
      <c r="I152" s="156"/>
      <c r="J152" s="141"/>
      <c r="K152" s="140"/>
      <c r="L152" s="141"/>
      <c r="M152" s="135"/>
      <c r="N152" s="136"/>
      <c r="O152" s="52"/>
      <c r="P152" s="101"/>
      <c r="Q152" s="101"/>
      <c r="R152" s="52"/>
      <c r="S152" s="101"/>
      <c r="T152" s="150"/>
      <c r="U152" s="151"/>
      <c r="V152" s="152"/>
      <c r="W152" s="63"/>
      <c r="X152" s="18"/>
      <c r="Y152" s="40"/>
    </row>
    <row r="153" spans="1:25" s="8" customFormat="1" ht="20.100000000000001" customHeight="1">
      <c r="A153" s="114">
        <f>IF(AND(I153="する", OR(M153="", O153="", P153="", Q153="", R153="", S153="", T153="")), 1104,0)</f>
        <v>0</v>
      </c>
      <c r="B153" s="9"/>
      <c r="C153" s="16"/>
      <c r="D153" s="36">
        <v>14</v>
      </c>
      <c r="E153" s="157" t="s">
        <v>180</v>
      </c>
      <c r="F153" s="157"/>
      <c r="G153" s="157"/>
      <c r="H153" s="158"/>
      <c r="I153" s="156"/>
      <c r="J153" s="141"/>
      <c r="K153" s="228"/>
      <c r="L153" s="229"/>
      <c r="M153" s="135"/>
      <c r="N153" s="136"/>
      <c r="O153" s="52"/>
      <c r="P153" s="101"/>
      <c r="Q153" s="101"/>
      <c r="R153" s="52"/>
      <c r="S153" s="101"/>
      <c r="T153" s="150"/>
      <c r="U153" s="151"/>
      <c r="V153" s="152"/>
      <c r="W153" s="63"/>
      <c r="X153" s="18"/>
      <c r="Y153" s="40"/>
    </row>
    <row r="154" spans="1:25" s="8" customFormat="1" ht="20.100000000000001" customHeight="1">
      <c r="A154" s="114">
        <f>IF(AND(I154="する", OR(AND(K154&lt;&gt;"一般", K154&lt;&gt;"特定", K154&lt;&gt;"両方"), M154="", O154="", P154="", Q154="", R154="", S154="", T154="")), 1103,0)</f>
        <v>0</v>
      </c>
      <c r="B154" s="9"/>
      <c r="C154" s="16"/>
      <c r="D154" s="36">
        <v>15</v>
      </c>
      <c r="E154" s="157" t="s">
        <v>21</v>
      </c>
      <c r="F154" s="157"/>
      <c r="G154" s="157"/>
      <c r="H154" s="158"/>
      <c r="I154" s="156"/>
      <c r="J154" s="141"/>
      <c r="K154" s="140"/>
      <c r="L154" s="141"/>
      <c r="M154" s="135"/>
      <c r="N154" s="136"/>
      <c r="O154" s="52"/>
      <c r="P154" s="101"/>
      <c r="Q154" s="101"/>
      <c r="R154" s="52"/>
      <c r="S154" s="101"/>
      <c r="T154" s="150"/>
      <c r="U154" s="151"/>
      <c r="V154" s="152"/>
      <c r="W154" s="63"/>
      <c r="X154" s="18"/>
      <c r="Y154" s="40"/>
    </row>
    <row r="155" spans="1:25" s="8" customFormat="1" ht="20.100000000000001" customHeight="1">
      <c r="A155" s="114">
        <f>IF(AND(I155="する", OR(AND(K155&lt;&gt;"一般", K155&lt;&gt;"特定", K155&lt;&gt;"両方"), M155="", O155="", P155="", Q155="", R155="", S155="", T155="", T155&lt;5000)), 1105,0)</f>
        <v>0</v>
      </c>
      <c r="B155" s="9"/>
      <c r="C155" s="16"/>
      <c r="D155" s="36">
        <v>16</v>
      </c>
      <c r="E155" s="157" t="s">
        <v>235</v>
      </c>
      <c r="F155" s="157"/>
      <c r="G155" s="157"/>
      <c r="H155" s="158"/>
      <c r="I155" s="156"/>
      <c r="J155" s="141"/>
      <c r="K155" s="140"/>
      <c r="L155" s="141"/>
      <c r="M155" s="135"/>
      <c r="N155" s="136"/>
      <c r="O155" s="52"/>
      <c r="P155" s="101"/>
      <c r="Q155" s="101"/>
      <c r="R155" s="52"/>
      <c r="S155" s="101"/>
      <c r="T155" s="150"/>
      <c r="U155" s="151"/>
      <c r="V155" s="152"/>
      <c r="W155" s="63"/>
      <c r="X155" s="18"/>
      <c r="Y155" s="40"/>
    </row>
    <row r="156" spans="1:25" s="8" customFormat="1" ht="20.100000000000001" customHeight="1">
      <c r="A156" s="114">
        <f>IF(AND(I156="する", OR(AND(K156&lt;&gt;"一般", K156&lt;&gt;"特定", K156&lt;&gt;"両方"), M156="", O156="", P156="", Q156="", R156="", S156="", T156="")), 1103,0)</f>
        <v>0</v>
      </c>
      <c r="B156" s="9"/>
      <c r="C156" s="16"/>
      <c r="D156" s="36">
        <v>17</v>
      </c>
      <c r="E156" s="157" t="s">
        <v>22</v>
      </c>
      <c r="F156" s="157"/>
      <c r="G156" s="157"/>
      <c r="H156" s="158"/>
      <c r="I156" s="156"/>
      <c r="J156" s="141"/>
      <c r="K156" s="140"/>
      <c r="L156" s="141"/>
      <c r="M156" s="135"/>
      <c r="N156" s="136"/>
      <c r="O156" s="52"/>
      <c r="P156" s="101"/>
      <c r="Q156" s="101"/>
      <c r="R156" s="52"/>
      <c r="S156" s="101"/>
      <c r="T156" s="150"/>
      <c r="U156" s="151"/>
      <c r="V156" s="152"/>
      <c r="W156" s="63"/>
      <c r="X156" s="18"/>
      <c r="Y156" s="40"/>
    </row>
    <row r="157" spans="1:25" s="8" customFormat="1" ht="20.100000000000001" customHeight="1">
      <c r="A157" s="114">
        <f>IF(AND(I157="する", OR(AND(K157&lt;&gt;"一般", K157&lt;&gt;"特定", K157&lt;&gt;"両方"), M157="", O157="", P157="", Q157="", R157="", S157="", T157="")), 1103,0)</f>
        <v>0</v>
      </c>
      <c r="B157" s="9"/>
      <c r="C157" s="16"/>
      <c r="D157" s="36">
        <v>18</v>
      </c>
      <c r="E157" s="157" t="s">
        <v>23</v>
      </c>
      <c r="F157" s="157"/>
      <c r="G157" s="157"/>
      <c r="H157" s="158"/>
      <c r="I157" s="156"/>
      <c r="J157" s="141"/>
      <c r="K157" s="140"/>
      <c r="L157" s="141"/>
      <c r="M157" s="135"/>
      <c r="N157" s="136"/>
      <c r="O157" s="52"/>
      <c r="P157" s="101"/>
      <c r="Q157" s="101"/>
      <c r="R157" s="52"/>
      <c r="S157" s="101"/>
      <c r="T157" s="150"/>
      <c r="U157" s="151"/>
      <c r="V157" s="152"/>
      <c r="W157" s="63"/>
      <c r="X157" s="18"/>
      <c r="Y157" s="40"/>
    </row>
    <row r="158" spans="1:25" s="8" customFormat="1" ht="20.100000000000001" customHeight="1">
      <c r="A158" s="114">
        <f>IF(AND(I158="する", OR(AND(K158&lt;&gt;"一般", K158&lt;&gt;"特定", K158&lt;&gt;"両方"), M158="", O158="", P158="", Q158="", R158="", S158="", T158="")), 1103,0)</f>
        <v>0</v>
      </c>
      <c r="B158" s="9"/>
      <c r="C158" s="16"/>
      <c r="D158" s="36">
        <v>19</v>
      </c>
      <c r="E158" s="157" t="s">
        <v>24</v>
      </c>
      <c r="F158" s="157"/>
      <c r="G158" s="157"/>
      <c r="H158" s="158"/>
      <c r="I158" s="156"/>
      <c r="J158" s="141"/>
      <c r="K158" s="140"/>
      <c r="L158" s="141"/>
      <c r="M158" s="135"/>
      <c r="N158" s="136"/>
      <c r="O158" s="52"/>
      <c r="P158" s="101"/>
      <c r="Q158" s="101"/>
      <c r="R158" s="52"/>
      <c r="S158" s="101"/>
      <c r="T158" s="150"/>
      <c r="U158" s="151"/>
      <c r="V158" s="152"/>
      <c r="W158" s="63"/>
      <c r="X158" s="18"/>
      <c r="Y158" s="40"/>
    </row>
    <row r="159" spans="1:25" s="8" customFormat="1" ht="20.100000000000001" customHeight="1">
      <c r="A159" s="114">
        <f>IF(AND(I159="する", OR(AND(K159&lt;&gt;"一般", K159&lt;&gt;"特定", K159&lt;&gt;"両方"), M159="", O159="", P159="", Q159="", R159="", S159="", T159="", T159&lt;0)), 1106,0)</f>
        <v>0</v>
      </c>
      <c r="B159" s="9"/>
      <c r="C159" s="16"/>
      <c r="D159" s="36">
        <v>20</v>
      </c>
      <c r="E159" s="157" t="s">
        <v>236</v>
      </c>
      <c r="F159" s="157"/>
      <c r="G159" s="157"/>
      <c r="H159" s="158"/>
      <c r="I159" s="156"/>
      <c r="J159" s="141"/>
      <c r="K159" s="140"/>
      <c r="L159" s="141"/>
      <c r="M159" s="135"/>
      <c r="N159" s="136"/>
      <c r="O159" s="52"/>
      <c r="P159" s="101"/>
      <c r="Q159" s="101"/>
      <c r="R159" s="52"/>
      <c r="S159" s="101"/>
      <c r="T159" s="150"/>
      <c r="U159" s="151"/>
      <c r="V159" s="152"/>
      <c r="W159" s="63"/>
      <c r="X159" s="18"/>
      <c r="Y159" s="40"/>
    </row>
    <row r="160" spans="1:25" s="8" customFormat="1" ht="20.100000000000001" customHeight="1">
      <c r="A160" s="114">
        <f>IF(AND(I160="する", OR(AND(K160&lt;&gt;"一般", K160&lt;&gt;"特定", K160&lt;&gt;"両方"), M160="", O160="", P160="", Q160="", R160="", S160="", T160="")), 1103,0)</f>
        <v>0</v>
      </c>
      <c r="B160" s="9"/>
      <c r="C160" s="16"/>
      <c r="D160" s="36">
        <v>21</v>
      </c>
      <c r="E160" s="157" t="s">
        <v>26</v>
      </c>
      <c r="F160" s="157"/>
      <c r="G160" s="157"/>
      <c r="H160" s="158"/>
      <c r="I160" s="156"/>
      <c r="J160" s="141"/>
      <c r="K160" s="140"/>
      <c r="L160" s="141"/>
      <c r="M160" s="135"/>
      <c r="N160" s="136"/>
      <c r="O160" s="52"/>
      <c r="P160" s="101"/>
      <c r="Q160" s="101"/>
      <c r="R160" s="52"/>
      <c r="S160" s="101"/>
      <c r="T160" s="150"/>
      <c r="U160" s="151"/>
      <c r="V160" s="152"/>
      <c r="W160" s="63"/>
      <c r="X160" s="18"/>
      <c r="Y160" s="40"/>
    </row>
    <row r="161" spans="1:25" s="8" customFormat="1" ht="20.100000000000001" customHeight="1">
      <c r="A161" s="114">
        <f>IF(AND(I161="する", OR(AND(K161&lt;&gt;"一般", K161&lt;&gt;"特定", K161&lt;&gt;"両方"), M161="", O161="", P161="", Q161="", R161="", S161="", T161="")), 1103,0)</f>
        <v>0</v>
      </c>
      <c r="B161" s="9"/>
      <c r="C161" s="16"/>
      <c r="D161" s="36">
        <v>22</v>
      </c>
      <c r="E161" s="157" t="s">
        <v>27</v>
      </c>
      <c r="F161" s="157"/>
      <c r="G161" s="157"/>
      <c r="H161" s="158"/>
      <c r="I161" s="156"/>
      <c r="J161" s="141"/>
      <c r="K161" s="140"/>
      <c r="L161" s="141"/>
      <c r="M161" s="135"/>
      <c r="N161" s="136"/>
      <c r="O161" s="52"/>
      <c r="P161" s="101"/>
      <c r="Q161" s="101"/>
      <c r="R161" s="52"/>
      <c r="S161" s="101"/>
      <c r="T161" s="150"/>
      <c r="U161" s="151"/>
      <c r="V161" s="152"/>
      <c r="W161" s="63"/>
      <c r="X161" s="18"/>
      <c r="Y161" s="40"/>
    </row>
    <row r="162" spans="1:25" s="8" customFormat="1" ht="20.100000000000001" customHeight="1">
      <c r="A162" s="114">
        <f>IF(AND(I162="する", OR(AND(K162&lt;&gt;"一般", K162&lt;&gt;"特定", K162&lt;&gt;"両方"), M162="", O162="", P162="", Q162="", R162="", S162="", T162="", T162&lt;0)), 1106,0)</f>
        <v>0</v>
      </c>
      <c r="B162" s="9"/>
      <c r="C162" s="12"/>
      <c r="D162" s="36">
        <v>23</v>
      </c>
      <c r="E162" s="157" t="s">
        <v>237</v>
      </c>
      <c r="F162" s="157"/>
      <c r="G162" s="157"/>
      <c r="H162" s="158"/>
      <c r="I162" s="156"/>
      <c r="J162" s="141"/>
      <c r="K162" s="140"/>
      <c r="L162" s="141"/>
      <c r="M162" s="135"/>
      <c r="N162" s="136"/>
      <c r="O162" s="52"/>
      <c r="P162" s="101"/>
      <c r="Q162" s="101"/>
      <c r="R162" s="52"/>
      <c r="S162" s="101"/>
      <c r="T162" s="150"/>
      <c r="U162" s="151"/>
      <c r="V162" s="152"/>
      <c r="W162" s="63"/>
      <c r="X162" s="34"/>
    </row>
    <row r="163" spans="1:25" s="8" customFormat="1" ht="20.100000000000001" customHeight="1">
      <c r="A163" s="114">
        <f>IF(AND(I163="する", OR(AND(K163&lt;&gt;"一般", K163&lt;&gt;"特定", K163&lt;&gt;"両方"), M163="", O163="", P163="", Q163="", R163="", S163="", T163="")), 1103,0)</f>
        <v>0</v>
      </c>
      <c r="B163" s="9"/>
      <c r="C163" s="16"/>
      <c r="D163" s="36">
        <v>24</v>
      </c>
      <c r="E163" s="157" t="s">
        <v>29</v>
      </c>
      <c r="F163" s="157"/>
      <c r="G163" s="157"/>
      <c r="H163" s="158"/>
      <c r="I163" s="156"/>
      <c r="J163" s="141"/>
      <c r="K163" s="140"/>
      <c r="L163" s="141"/>
      <c r="M163" s="135"/>
      <c r="N163" s="136"/>
      <c r="O163" s="52"/>
      <c r="P163" s="101"/>
      <c r="Q163" s="101"/>
      <c r="R163" s="52"/>
      <c r="S163" s="101"/>
      <c r="T163" s="150"/>
      <c r="U163" s="151"/>
      <c r="V163" s="152"/>
      <c r="W163" s="63"/>
      <c r="X163" s="18"/>
      <c r="Y163" s="40"/>
    </row>
    <row r="164" spans="1:25" s="8" customFormat="1" ht="20.100000000000001" customHeight="1">
      <c r="A164" s="114">
        <f>IF(AND(I164="する", OR(AND(K164&lt;&gt;"一般", K164&lt;&gt;"特定", K164&lt;&gt;"両方"), M164="", O164="", P164="", Q164="", R164="", S164="", T164="", T164&lt;0)), 1106,0)</f>
        <v>0</v>
      </c>
      <c r="B164" s="9"/>
      <c r="C164" s="16"/>
      <c r="D164" s="36">
        <v>25</v>
      </c>
      <c r="E164" s="157" t="s">
        <v>238</v>
      </c>
      <c r="F164" s="157"/>
      <c r="G164" s="157"/>
      <c r="H164" s="158"/>
      <c r="I164" s="156"/>
      <c r="J164" s="141"/>
      <c r="K164" s="140"/>
      <c r="L164" s="141"/>
      <c r="M164" s="135"/>
      <c r="N164" s="136"/>
      <c r="O164" s="52"/>
      <c r="P164" s="101"/>
      <c r="Q164" s="101"/>
      <c r="R164" s="52"/>
      <c r="S164" s="101"/>
      <c r="T164" s="150"/>
      <c r="U164" s="151"/>
      <c r="V164" s="152"/>
      <c r="W164" s="63"/>
      <c r="X164" s="18"/>
      <c r="Y164" s="40"/>
    </row>
    <row r="165" spans="1:25" s="8" customFormat="1" ht="20.100000000000001" customHeight="1">
      <c r="A165" s="114">
        <f>IF(AND(I165="する", OR(AND(K165&lt;&gt;"一般", K165&lt;&gt;"特定", K165&lt;&gt;"両方"), M165="", O165="", P165="", Q165="", R165="", S165="", T165="", T165&lt;0)), 1106,0)</f>
        <v>0</v>
      </c>
      <c r="B165" s="9"/>
      <c r="C165" s="16"/>
      <c r="D165" s="36">
        <v>26</v>
      </c>
      <c r="E165" s="157" t="s">
        <v>239</v>
      </c>
      <c r="F165" s="157"/>
      <c r="G165" s="157"/>
      <c r="H165" s="158"/>
      <c r="I165" s="156"/>
      <c r="J165" s="141"/>
      <c r="K165" s="140"/>
      <c r="L165" s="141"/>
      <c r="M165" s="135"/>
      <c r="N165" s="136"/>
      <c r="O165" s="52"/>
      <c r="P165" s="101"/>
      <c r="Q165" s="101"/>
      <c r="R165" s="52"/>
      <c r="S165" s="101"/>
      <c r="T165" s="150"/>
      <c r="U165" s="151"/>
      <c r="V165" s="152"/>
      <c r="W165" s="63"/>
      <c r="X165" s="18"/>
      <c r="Y165" s="40"/>
    </row>
    <row r="166" spans="1:25" s="8" customFormat="1" ht="20.100000000000001" customHeight="1">
      <c r="A166" s="114">
        <f>IF(AND(I166="する", OR(AND(K166&lt;&gt;"一般", K166&lt;&gt;"特定", K166&lt;&gt;"両方"), M166="", O166="", P166="", Q166="", R166="", S166="", T166="")), 1103,0)</f>
        <v>0</v>
      </c>
      <c r="B166" s="9"/>
      <c r="C166" s="16"/>
      <c r="D166" s="36">
        <v>27</v>
      </c>
      <c r="E166" s="157" t="s">
        <v>32</v>
      </c>
      <c r="F166" s="157"/>
      <c r="G166" s="157"/>
      <c r="H166" s="158"/>
      <c r="I166" s="156"/>
      <c r="J166" s="141"/>
      <c r="K166" s="140"/>
      <c r="L166" s="141"/>
      <c r="M166" s="135"/>
      <c r="N166" s="136"/>
      <c r="O166" s="52"/>
      <c r="P166" s="101"/>
      <c r="Q166" s="101"/>
      <c r="R166" s="52"/>
      <c r="S166" s="101"/>
      <c r="T166" s="150"/>
      <c r="U166" s="151"/>
      <c r="V166" s="152"/>
      <c r="W166" s="63"/>
      <c r="X166" s="18"/>
      <c r="Y166" s="40"/>
    </row>
    <row r="167" spans="1:25" s="8" customFormat="1" ht="20.100000000000001" customHeight="1">
      <c r="A167" s="114">
        <f>IF(AND(I167="する", OR(AND(K167&lt;&gt;"一般", K167&lt;&gt;"特定", K167&lt;&gt;"両方"), M167="", O167="", P167="", Q167="", R167="", S167="", T167="", T167&lt;0)), 1106,0)</f>
        <v>0</v>
      </c>
      <c r="B167" s="9"/>
      <c r="C167" s="16"/>
      <c r="D167" s="36">
        <v>28</v>
      </c>
      <c r="E167" s="157" t="s">
        <v>240</v>
      </c>
      <c r="F167" s="157"/>
      <c r="G167" s="157"/>
      <c r="H167" s="158"/>
      <c r="I167" s="156"/>
      <c r="J167" s="141"/>
      <c r="K167" s="140"/>
      <c r="L167" s="141"/>
      <c r="M167" s="135"/>
      <c r="N167" s="136"/>
      <c r="O167" s="52"/>
      <c r="P167" s="101"/>
      <c r="Q167" s="101"/>
      <c r="R167" s="52"/>
      <c r="S167" s="101"/>
      <c r="T167" s="150"/>
      <c r="U167" s="151"/>
      <c r="V167" s="152"/>
      <c r="W167" s="63"/>
      <c r="X167" s="18"/>
      <c r="Y167" s="40"/>
    </row>
    <row r="168" spans="1:25" s="8" customFormat="1" ht="20.100000000000001" customHeight="1">
      <c r="A168" s="114">
        <f>IF(AND(I168="する", OR(AND(K168&lt;&gt;"一般", K168&lt;&gt;"特定", K168&lt;&gt;"両方"), M168="", O168="", P168="", Q168="", R168="", S168="", T168="", T168&lt;5000)), 1105,0)</f>
        <v>0</v>
      </c>
      <c r="B168" s="9"/>
      <c r="C168" s="16"/>
      <c r="D168" s="36">
        <v>29</v>
      </c>
      <c r="E168" s="157" t="s">
        <v>241</v>
      </c>
      <c r="F168" s="157"/>
      <c r="G168" s="157"/>
      <c r="H168" s="158"/>
      <c r="I168" s="156"/>
      <c r="J168" s="141"/>
      <c r="K168" s="140"/>
      <c r="L168" s="141"/>
      <c r="M168" s="135"/>
      <c r="N168" s="136"/>
      <c r="O168" s="52"/>
      <c r="P168" s="101"/>
      <c r="Q168" s="101"/>
      <c r="R168" s="52"/>
      <c r="S168" s="101"/>
      <c r="T168" s="150"/>
      <c r="U168" s="151"/>
      <c r="V168" s="152"/>
      <c r="W168" s="63"/>
      <c r="X168" s="18"/>
      <c r="Y168" s="40"/>
    </row>
    <row r="169" spans="1:25" s="8" customFormat="1" ht="20.100000000000001" customHeight="1">
      <c r="A169" s="114">
        <f>IF(AND(I169="する", OR(AND(K169&lt;&gt;"一般", K169&lt;&gt;"特定", K169&lt;&gt;"両方"), M169="", O169="", P169="", Q169="", R169="", S169="", T169="")), 1103,0)</f>
        <v>0</v>
      </c>
      <c r="B169" s="9"/>
      <c r="C169" s="16"/>
      <c r="D169" s="36">
        <v>30</v>
      </c>
      <c r="E169" s="157" t="s">
        <v>35</v>
      </c>
      <c r="F169" s="157"/>
      <c r="G169" s="157"/>
      <c r="H169" s="158"/>
      <c r="I169" s="156"/>
      <c r="J169" s="141"/>
      <c r="K169" s="140"/>
      <c r="L169" s="141"/>
      <c r="M169" s="135"/>
      <c r="N169" s="136"/>
      <c r="O169" s="52"/>
      <c r="P169" s="101"/>
      <c r="Q169" s="101"/>
      <c r="R169" s="52"/>
      <c r="S169" s="101"/>
      <c r="T169" s="150"/>
      <c r="U169" s="151"/>
      <c r="V169" s="152"/>
      <c r="W169" s="63"/>
      <c r="X169" s="18"/>
      <c r="Y169" s="40"/>
    </row>
    <row r="170" spans="1:25" s="8" customFormat="1" ht="20.100000000000001" customHeight="1">
      <c r="A170" s="114">
        <f>IF(AND(I170="する", OR(AND(K170&lt;&gt;"一般", K170&lt;&gt;"特定", K170&lt;&gt;"両方"), M170="", O170="", P170="", Q170="", R170="", S170="", T170="")), 1103,0)</f>
        <v>0</v>
      </c>
      <c r="B170" s="9"/>
      <c r="C170" s="16"/>
      <c r="D170" s="36">
        <v>31</v>
      </c>
      <c r="E170" s="157" t="s">
        <v>36</v>
      </c>
      <c r="F170" s="157"/>
      <c r="G170" s="157"/>
      <c r="H170" s="158"/>
      <c r="I170" s="156"/>
      <c r="J170" s="141"/>
      <c r="K170" s="140"/>
      <c r="L170" s="141"/>
      <c r="M170" s="135"/>
      <c r="N170" s="136"/>
      <c r="O170" s="52"/>
      <c r="P170" s="101"/>
      <c r="Q170" s="101"/>
      <c r="R170" s="52"/>
      <c r="S170" s="101"/>
      <c r="T170" s="150"/>
      <c r="U170" s="151"/>
      <c r="V170" s="152"/>
      <c r="W170" s="63"/>
      <c r="X170" s="18"/>
      <c r="Y170" s="40"/>
    </row>
    <row r="171" spans="1:25" s="8" customFormat="1" ht="20.100000000000001" customHeight="1">
      <c r="A171" s="114">
        <f>IF(AND(I171="する", OR(AND(K171&lt;&gt;"一般", K171&lt;&gt;"特定", K171&lt;&gt;"両方"), M171="", O171="", P171="", Q171="", R171="", S171="", T171="", T171&lt;0)), 1106,0)</f>
        <v>0</v>
      </c>
      <c r="B171" s="9"/>
      <c r="C171" s="16"/>
      <c r="D171" s="37">
        <v>32</v>
      </c>
      <c r="E171" s="203" t="s">
        <v>242</v>
      </c>
      <c r="F171" s="203"/>
      <c r="G171" s="203"/>
      <c r="H171" s="204"/>
      <c r="I171" s="217"/>
      <c r="J171" s="160"/>
      <c r="K171" s="159"/>
      <c r="L171" s="160"/>
      <c r="M171" s="137"/>
      <c r="N171" s="138"/>
      <c r="O171" s="59"/>
      <c r="P171" s="102"/>
      <c r="Q171" s="102"/>
      <c r="R171" s="59"/>
      <c r="S171" s="102"/>
      <c r="T171" s="153"/>
      <c r="U171" s="154"/>
      <c r="V171" s="155"/>
      <c r="W171" s="63"/>
      <c r="X171" s="18"/>
      <c r="Y171" s="40"/>
    </row>
    <row r="172" spans="1:25" s="8" customFormat="1" ht="3" customHeight="1">
      <c r="A172" s="114"/>
      <c r="B172" s="9"/>
      <c r="C172" s="16"/>
      <c r="D172" s="17"/>
      <c r="E172" s="40"/>
      <c r="F172" s="40"/>
      <c r="G172" s="40"/>
      <c r="H172" s="40"/>
      <c r="I172" s="40"/>
      <c r="J172" s="31"/>
      <c r="K172" s="32"/>
      <c r="L172" s="32"/>
      <c r="M172" s="32"/>
      <c r="N172" s="33"/>
      <c r="O172" s="33"/>
      <c r="P172" s="33"/>
      <c r="Q172" s="33"/>
      <c r="R172" s="38"/>
      <c r="S172" s="38"/>
      <c r="T172" s="38"/>
      <c r="U172" s="38"/>
      <c r="V172" s="38"/>
      <c r="W172" s="38"/>
      <c r="X172" s="18"/>
      <c r="Y172" s="40"/>
    </row>
    <row r="173" spans="1:25" s="8" customFormat="1" ht="39.950000000000003" customHeight="1">
      <c r="A173" s="114"/>
      <c r="B173" s="9"/>
      <c r="C173" s="16"/>
      <c r="D173" s="45" t="s">
        <v>114</v>
      </c>
      <c r="E173" s="139" t="s">
        <v>243</v>
      </c>
      <c r="F173" s="139"/>
      <c r="G173" s="139"/>
      <c r="H173" s="139"/>
      <c r="I173" s="139"/>
      <c r="J173" s="139"/>
      <c r="K173" s="139"/>
      <c r="L173" s="139"/>
      <c r="M173" s="139"/>
      <c r="N173" s="139"/>
      <c r="O173" s="139"/>
      <c r="P173" s="139"/>
      <c r="Q173" s="139"/>
      <c r="R173" s="139"/>
      <c r="S173" s="139"/>
      <c r="T173" s="139"/>
      <c r="U173" s="139"/>
      <c r="V173" s="139"/>
      <c r="W173" s="139"/>
      <c r="X173" s="18"/>
      <c r="Y173" s="40"/>
    </row>
    <row r="174" spans="1:25" s="112" customFormat="1" ht="30" customHeight="1">
      <c r="A174" s="114"/>
      <c r="B174" s="9"/>
      <c r="C174" s="16"/>
      <c r="D174" s="44" t="s">
        <v>244</v>
      </c>
      <c r="E174" s="139" t="s">
        <v>189</v>
      </c>
      <c r="F174" s="139"/>
      <c r="G174" s="139"/>
      <c r="H174" s="139"/>
      <c r="I174" s="139"/>
      <c r="J174" s="139"/>
      <c r="K174" s="139"/>
      <c r="L174" s="139"/>
      <c r="M174" s="139"/>
      <c r="N174" s="139"/>
      <c r="O174" s="139"/>
      <c r="P174" s="139"/>
      <c r="Q174" s="139"/>
      <c r="R174" s="139"/>
      <c r="S174" s="139"/>
      <c r="T174" s="139"/>
      <c r="U174" s="139"/>
      <c r="V174" s="139"/>
      <c r="W174" s="139"/>
      <c r="X174" s="18"/>
      <c r="Y174" s="111"/>
    </row>
    <row r="175" spans="1:25" s="112" customFormat="1" ht="30" customHeight="1">
      <c r="A175" s="114"/>
      <c r="B175" s="9"/>
      <c r="C175" s="16"/>
      <c r="D175" s="44" t="s">
        <v>191</v>
      </c>
      <c r="E175" s="139" t="s">
        <v>190</v>
      </c>
      <c r="F175" s="139"/>
      <c r="G175" s="139"/>
      <c r="H175" s="139"/>
      <c r="I175" s="139"/>
      <c r="J175" s="139"/>
      <c r="K175" s="139"/>
      <c r="L175" s="139"/>
      <c r="M175" s="139"/>
      <c r="N175" s="139"/>
      <c r="O175" s="139"/>
      <c r="P175" s="139"/>
      <c r="Q175" s="139"/>
      <c r="R175" s="139"/>
      <c r="S175" s="139"/>
      <c r="T175" s="139"/>
      <c r="U175" s="139"/>
      <c r="V175" s="139"/>
      <c r="W175" s="139"/>
      <c r="X175" s="18"/>
      <c r="Y175" s="111"/>
    </row>
    <row r="176" spans="1:25" s="120" customFormat="1" ht="15" customHeight="1">
      <c r="A176" s="114"/>
      <c r="B176" s="9"/>
      <c r="C176" s="16"/>
      <c r="D176" s="44" t="s">
        <v>201</v>
      </c>
      <c r="E176" s="139" t="s">
        <v>206</v>
      </c>
      <c r="F176" s="139"/>
      <c r="G176" s="139"/>
      <c r="H176" s="139"/>
      <c r="I176" s="139"/>
      <c r="J176" s="139"/>
      <c r="K176" s="139"/>
      <c r="L176" s="139"/>
      <c r="M176" s="139"/>
      <c r="N176" s="139"/>
      <c r="O176" s="139"/>
      <c r="P176" s="139"/>
      <c r="Q176" s="139"/>
      <c r="R176" s="139"/>
      <c r="S176" s="139"/>
      <c r="T176" s="139"/>
      <c r="U176" s="139"/>
      <c r="V176" s="139"/>
      <c r="W176" s="139"/>
      <c r="X176" s="18"/>
      <c r="Y176" s="119"/>
    </row>
    <row r="177" spans="1:25" s="8" customFormat="1" ht="5.0999999999999996" customHeight="1">
      <c r="A177" s="114"/>
      <c r="B177" s="9"/>
      <c r="C177" s="25"/>
      <c r="D177" s="26"/>
      <c r="E177" s="26"/>
      <c r="F177" s="26"/>
      <c r="G177" s="26"/>
      <c r="H177" s="26"/>
      <c r="I177" s="170"/>
      <c r="J177" s="170"/>
      <c r="K177" s="170"/>
      <c r="L177" s="170"/>
      <c r="M177" s="170"/>
      <c r="N177" s="170"/>
      <c r="O177" s="170"/>
      <c r="P177" s="27"/>
      <c r="Q177" s="27"/>
      <c r="R177" s="27"/>
      <c r="S177" s="27"/>
      <c r="T177" s="27"/>
      <c r="U177" s="27"/>
      <c r="V177" s="27"/>
      <c r="W177" s="27"/>
      <c r="X177" s="28"/>
    </row>
    <row r="178" spans="1:25" s="8" customFormat="1" ht="9.9499999999999993" customHeight="1">
      <c r="A178" s="114"/>
      <c r="B178" s="9"/>
      <c r="C178" s="40"/>
      <c r="D178" s="40"/>
      <c r="E178" s="40"/>
      <c r="F178" s="40"/>
      <c r="G178" s="40"/>
      <c r="H178" s="40"/>
      <c r="I178" s="40"/>
      <c r="J178" s="38"/>
      <c r="K178" s="38"/>
      <c r="L178" s="55"/>
      <c r="M178" s="38"/>
      <c r="N178" s="38"/>
      <c r="O178" s="38"/>
      <c r="P178" s="38"/>
      <c r="Q178" s="38"/>
      <c r="R178" s="38"/>
      <c r="S178" s="38"/>
      <c r="T178" s="38"/>
      <c r="U178" s="38"/>
      <c r="V178" s="38"/>
      <c r="W178" s="38"/>
      <c r="X178" s="40"/>
    </row>
    <row r="179" spans="1:25" ht="9.9499999999999993" customHeight="1">
      <c r="A179" s="114"/>
      <c r="B179" s="9"/>
      <c r="C179" s="49"/>
      <c r="D179" s="49"/>
      <c r="E179" s="49"/>
      <c r="F179" s="49"/>
      <c r="G179" s="49"/>
      <c r="H179" s="49"/>
      <c r="I179" s="50"/>
      <c r="J179" s="49"/>
      <c r="K179" s="49"/>
      <c r="L179" s="124"/>
      <c r="M179" s="49"/>
      <c r="N179" s="49"/>
      <c r="O179" s="49"/>
      <c r="P179" s="49"/>
      <c r="Q179" s="49"/>
      <c r="R179" s="49"/>
      <c r="S179" s="49"/>
      <c r="T179" s="49"/>
      <c r="U179" s="49"/>
      <c r="V179" s="49"/>
      <c r="W179" s="49"/>
      <c r="X179" s="49"/>
    </row>
    <row r="180" spans="1:25" ht="20.100000000000001" customHeight="1">
      <c r="A180" s="114"/>
      <c r="B180" s="9"/>
      <c r="C180" s="142" t="s">
        <v>126</v>
      </c>
      <c r="D180" s="143"/>
      <c r="E180" s="143"/>
      <c r="F180" s="143"/>
      <c r="G180" s="143"/>
      <c r="H180" s="144"/>
    </row>
    <row r="181" spans="1:25" ht="8.1" customHeight="1">
      <c r="A181" s="114"/>
      <c r="B181" s="9"/>
      <c r="C181" s="12"/>
      <c r="D181" s="51"/>
      <c r="E181" s="51"/>
      <c r="F181" s="51"/>
      <c r="G181" s="51"/>
      <c r="H181" s="51"/>
      <c r="I181" s="14"/>
      <c r="J181" s="14"/>
      <c r="K181" s="14"/>
      <c r="L181" s="14"/>
      <c r="M181" s="14"/>
      <c r="N181" s="14"/>
      <c r="O181" s="14"/>
      <c r="P181" s="14"/>
      <c r="Q181" s="14"/>
      <c r="R181" s="14"/>
      <c r="S181" s="14"/>
      <c r="T181" s="14"/>
      <c r="U181" s="14"/>
      <c r="V181" s="14"/>
      <c r="W181" s="14"/>
      <c r="X181" s="15"/>
    </row>
    <row r="182" spans="1:25" s="8" customFormat="1" ht="20.100000000000001" customHeight="1">
      <c r="A182" s="114"/>
      <c r="B182" s="9"/>
      <c r="C182" s="12"/>
      <c r="D182" s="146"/>
      <c r="E182" s="236" t="s">
        <v>127</v>
      </c>
      <c r="F182" s="236"/>
      <c r="G182" s="236"/>
      <c r="H182" s="237"/>
      <c r="I182" s="232" t="s">
        <v>128</v>
      </c>
      <c r="J182" s="232"/>
      <c r="K182" s="232"/>
      <c r="L182" s="232"/>
      <c r="M182" s="232"/>
      <c r="N182" s="233"/>
      <c r="O182" s="66"/>
      <c r="P182" s="53"/>
      <c r="X182" s="34"/>
    </row>
    <row r="183" spans="1:25" s="8" customFormat="1" ht="20.100000000000001" customHeight="1">
      <c r="A183" s="114"/>
      <c r="B183" s="9"/>
      <c r="C183" s="12"/>
      <c r="D183" s="147"/>
      <c r="E183" s="238"/>
      <c r="F183" s="238"/>
      <c r="G183" s="238"/>
      <c r="H183" s="239"/>
      <c r="I183" s="240" t="s">
        <v>129</v>
      </c>
      <c r="J183" s="241"/>
      <c r="K183" s="241"/>
      <c r="L183" s="242"/>
      <c r="M183" s="148" t="s">
        <v>130</v>
      </c>
      <c r="N183" s="149"/>
      <c r="O183" s="66"/>
      <c r="P183" s="53"/>
      <c r="X183" s="34"/>
    </row>
    <row r="184" spans="1:25" s="8" customFormat="1" ht="20.100000000000001" customHeight="1">
      <c r="A184" s="114">
        <f>IF(I155="する", IF(OR(OR(I184="", I184&lt;0), OR(M184="", M184&lt;0)),1,0),0)</f>
        <v>0</v>
      </c>
      <c r="B184" s="9"/>
      <c r="C184" s="12"/>
      <c r="D184" s="100">
        <v>1</v>
      </c>
      <c r="E184" s="234" t="s">
        <v>247</v>
      </c>
      <c r="F184" s="234"/>
      <c r="G184" s="234"/>
      <c r="H184" s="235"/>
      <c r="I184" s="243"/>
      <c r="J184" s="244"/>
      <c r="K184" s="244"/>
      <c r="L184" s="245"/>
      <c r="M184" s="218"/>
      <c r="N184" s="219"/>
      <c r="O184" s="66"/>
      <c r="P184" s="53"/>
      <c r="X184" s="34"/>
    </row>
    <row r="185" spans="1:25" s="8" customFormat="1" ht="20.100000000000001" customHeight="1">
      <c r="A185" s="114"/>
      <c r="B185" s="9"/>
      <c r="C185" s="16"/>
      <c r="D185" s="44" t="s">
        <v>114</v>
      </c>
      <c r="E185" s="139" t="s">
        <v>217</v>
      </c>
      <c r="F185" s="139"/>
      <c r="G185" s="139"/>
      <c r="H185" s="139"/>
      <c r="I185" s="139"/>
      <c r="J185" s="139"/>
      <c r="K185" s="139"/>
      <c r="L185" s="139"/>
      <c r="M185" s="139"/>
      <c r="N185" s="139"/>
      <c r="O185" s="139"/>
      <c r="P185" s="139"/>
      <c r="Q185" s="139"/>
      <c r="R185" s="139"/>
      <c r="S185" s="139"/>
      <c r="T185" s="139"/>
      <c r="U185" s="139"/>
      <c r="V185" s="139"/>
      <c r="W185" s="139"/>
      <c r="X185" s="18"/>
      <c r="Y185" s="53"/>
    </row>
    <row r="186" spans="1:25" ht="5.0999999999999996" customHeight="1">
      <c r="A186" s="114"/>
      <c r="B186" s="9"/>
      <c r="C186" s="25"/>
      <c r="D186" s="47"/>
      <c r="E186" s="170"/>
      <c r="F186" s="170"/>
      <c r="G186" s="170"/>
      <c r="H186" s="170"/>
      <c r="I186" s="48"/>
      <c r="J186" s="48"/>
      <c r="K186" s="48"/>
      <c r="L186" s="56"/>
      <c r="M186" s="48"/>
      <c r="N186" s="48"/>
      <c r="O186" s="48"/>
      <c r="P186" s="48"/>
      <c r="Q186" s="48"/>
      <c r="R186" s="48"/>
      <c r="S186" s="48"/>
      <c r="T186" s="48"/>
      <c r="U186" s="48"/>
      <c r="V186" s="48"/>
      <c r="W186" s="48"/>
      <c r="X186" s="28"/>
    </row>
    <row r="187" spans="1:25" ht="9.9499999999999993" customHeight="1">
      <c r="A187" s="114"/>
      <c r="B187" s="9"/>
      <c r="C187" s="49"/>
      <c r="D187" s="49"/>
      <c r="E187" s="49"/>
      <c r="F187" s="49"/>
      <c r="G187" s="49"/>
      <c r="H187" s="49"/>
      <c r="I187" s="50"/>
      <c r="J187" s="50"/>
      <c r="K187" s="50"/>
      <c r="L187" s="55"/>
      <c r="M187" s="50"/>
      <c r="N187" s="50"/>
      <c r="O187" s="50"/>
      <c r="P187" s="50"/>
      <c r="Q187" s="50"/>
      <c r="R187" s="50"/>
      <c r="S187" s="50"/>
      <c r="T187" s="50"/>
      <c r="U187" s="50"/>
      <c r="V187" s="50"/>
      <c r="W187" s="50"/>
      <c r="X187" s="49"/>
    </row>
  </sheetData>
  <sheetProtection password="EF3D" sheet="1" objects="1" scenarios="1"/>
  <dataConsolidate/>
  <mergeCells count="423">
    <mergeCell ref="D127:W127"/>
    <mergeCell ref="J37:W37"/>
    <mergeCell ref="N40:W40"/>
    <mergeCell ref="N38:W38"/>
    <mergeCell ref="J71:W71"/>
    <mergeCell ref="O129:W129"/>
    <mergeCell ref="O130:W130"/>
    <mergeCell ref="O128:W128"/>
    <mergeCell ref="K158:L158"/>
    <mergeCell ref="I149:J149"/>
    <mergeCell ref="I150:J150"/>
    <mergeCell ref="I152:J152"/>
    <mergeCell ref="K138:L139"/>
    <mergeCell ref="E155:H155"/>
    <mergeCell ref="T142:V142"/>
    <mergeCell ref="T143:V143"/>
    <mergeCell ref="T144:V144"/>
    <mergeCell ref="T145:V145"/>
    <mergeCell ref="E142:H142"/>
    <mergeCell ref="I140:J140"/>
    <mergeCell ref="I141:J141"/>
    <mergeCell ref="I142:J142"/>
    <mergeCell ref="I143:J143"/>
    <mergeCell ref="I144:J144"/>
    <mergeCell ref="K159:L159"/>
    <mergeCell ref="M159:N159"/>
    <mergeCell ref="M157:N157"/>
    <mergeCell ref="M156:N156"/>
    <mergeCell ref="I156:J156"/>
    <mergeCell ref="I157:J157"/>
    <mergeCell ref="I50:M50"/>
    <mergeCell ref="N50:W50"/>
    <mergeCell ref="J51:W51"/>
    <mergeCell ref="N52:W52"/>
    <mergeCell ref="H129:J129"/>
    <mergeCell ref="H130:J130"/>
    <mergeCell ref="E154:H154"/>
    <mergeCell ref="M152:N152"/>
    <mergeCell ref="E152:H152"/>
    <mergeCell ref="E153:H153"/>
    <mergeCell ref="E156:H156"/>
    <mergeCell ref="E157:H157"/>
    <mergeCell ref="M138:N139"/>
    <mergeCell ref="M145:N145"/>
    <mergeCell ref="T154:V154"/>
    <mergeCell ref="T155:V155"/>
    <mergeCell ref="T156:V156"/>
    <mergeCell ref="T157:V157"/>
    <mergeCell ref="E169:H169"/>
    <mergeCell ref="T161:V161"/>
    <mergeCell ref="T162:V162"/>
    <mergeCell ref="T163:V163"/>
    <mergeCell ref="M163:N163"/>
    <mergeCell ref="M143:N143"/>
    <mergeCell ref="M147:N147"/>
    <mergeCell ref="I183:L183"/>
    <mergeCell ref="I184:L184"/>
    <mergeCell ref="K143:L143"/>
    <mergeCell ref="K144:L144"/>
    <mergeCell ref="K145:L145"/>
    <mergeCell ref="K146:L146"/>
    <mergeCell ref="K147:L147"/>
    <mergeCell ref="K148:L148"/>
    <mergeCell ref="K149:L149"/>
    <mergeCell ref="K150:L150"/>
    <mergeCell ref="K151:L151"/>
    <mergeCell ref="K152:L152"/>
    <mergeCell ref="K153:L153"/>
    <mergeCell ref="K154:L154"/>
    <mergeCell ref="K155:L155"/>
    <mergeCell ref="K156:L156"/>
    <mergeCell ref="K157:L157"/>
    <mergeCell ref="E164:H164"/>
    <mergeCell ref="E165:H165"/>
    <mergeCell ref="E166:H166"/>
    <mergeCell ref="K168:L168"/>
    <mergeCell ref="K165:L165"/>
    <mergeCell ref="K166:L166"/>
    <mergeCell ref="K167:L167"/>
    <mergeCell ref="E167:H167"/>
    <mergeCell ref="E168:H168"/>
    <mergeCell ref="K164:L164"/>
    <mergeCell ref="M160:N160"/>
    <mergeCell ref="M170:N170"/>
    <mergeCell ref="I155:J155"/>
    <mergeCell ref="I182:N182"/>
    <mergeCell ref="E184:H184"/>
    <mergeCell ref="E182:H183"/>
    <mergeCell ref="M153:N153"/>
    <mergeCell ref="M169:N169"/>
    <mergeCell ref="I168:J168"/>
    <mergeCell ref="M166:N166"/>
    <mergeCell ref="K160:L160"/>
    <mergeCell ref="I153:J153"/>
    <mergeCell ref="I154:J154"/>
    <mergeCell ref="E158:H158"/>
    <mergeCell ref="E159:H159"/>
    <mergeCell ref="E160:H160"/>
    <mergeCell ref="I169:J169"/>
    <mergeCell ref="I162:J162"/>
    <mergeCell ref="I163:J163"/>
    <mergeCell ref="I164:J164"/>
    <mergeCell ref="I165:J165"/>
    <mergeCell ref="I166:J166"/>
    <mergeCell ref="I167:J167"/>
    <mergeCell ref="E163:H163"/>
    <mergeCell ref="E128:G128"/>
    <mergeCell ref="T141:V141"/>
    <mergeCell ref="M151:N151"/>
    <mergeCell ref="M148:N148"/>
    <mergeCell ref="M146:N146"/>
    <mergeCell ref="E144:H144"/>
    <mergeCell ref="E140:H140"/>
    <mergeCell ref="E141:H141"/>
    <mergeCell ref="E130:G130"/>
    <mergeCell ref="C134:I134"/>
    <mergeCell ref="E143:H143"/>
    <mergeCell ref="K140:L140"/>
    <mergeCell ref="K141:L141"/>
    <mergeCell ref="K142:L142"/>
    <mergeCell ref="E145:H145"/>
    <mergeCell ref="E146:H146"/>
    <mergeCell ref="E147:H147"/>
    <mergeCell ref="E148:H148"/>
    <mergeCell ref="E149:H149"/>
    <mergeCell ref="M150:N150"/>
    <mergeCell ref="I145:J145"/>
    <mergeCell ref="E150:H150"/>
    <mergeCell ref="E151:H151"/>
    <mergeCell ref="R138:S138"/>
    <mergeCell ref="E186:H186"/>
    <mergeCell ref="E185:W185"/>
    <mergeCell ref="C180:H180"/>
    <mergeCell ref="I170:J170"/>
    <mergeCell ref="I171:J171"/>
    <mergeCell ref="M168:N168"/>
    <mergeCell ref="I146:J146"/>
    <mergeCell ref="I147:J147"/>
    <mergeCell ref="I148:J148"/>
    <mergeCell ref="I177:O177"/>
    <mergeCell ref="T164:V164"/>
    <mergeCell ref="T165:V165"/>
    <mergeCell ref="T166:V166"/>
    <mergeCell ref="T150:V150"/>
    <mergeCell ref="T151:V151"/>
    <mergeCell ref="T152:V152"/>
    <mergeCell ref="T153:V153"/>
    <mergeCell ref="M167:N167"/>
    <mergeCell ref="M161:N161"/>
    <mergeCell ref="M154:N154"/>
    <mergeCell ref="M155:N155"/>
    <mergeCell ref="M162:N162"/>
    <mergeCell ref="M158:N158"/>
    <mergeCell ref="M184:N184"/>
    <mergeCell ref="E171:H171"/>
    <mergeCell ref="E119:H119"/>
    <mergeCell ref="I119:M119"/>
    <mergeCell ref="N119:W119"/>
    <mergeCell ref="E120:H120"/>
    <mergeCell ref="J120:W120"/>
    <mergeCell ref="E121:H121"/>
    <mergeCell ref="I121:M121"/>
    <mergeCell ref="N121:W121"/>
    <mergeCell ref="E122:H122"/>
    <mergeCell ref="J122:W122"/>
    <mergeCell ref="E123:H123"/>
    <mergeCell ref="T146:V146"/>
    <mergeCell ref="T147:V147"/>
    <mergeCell ref="T148:V148"/>
    <mergeCell ref="M141:N141"/>
    <mergeCell ref="M142:N142"/>
    <mergeCell ref="I151:J151"/>
    <mergeCell ref="T149:V149"/>
    <mergeCell ref="C126:H126"/>
    <mergeCell ref="K128:N128"/>
    <mergeCell ref="K129:N129"/>
    <mergeCell ref="K130:N130"/>
    <mergeCell ref="H128:J128"/>
    <mergeCell ref="D136:W136"/>
    <mergeCell ref="D137:W137"/>
    <mergeCell ref="T138:V139"/>
    <mergeCell ref="I138:J139"/>
    <mergeCell ref="D138:H139"/>
    <mergeCell ref="T140:V140"/>
    <mergeCell ref="E129:G129"/>
    <mergeCell ref="M149:N149"/>
    <mergeCell ref="M144:N144"/>
    <mergeCell ref="M140:N140"/>
    <mergeCell ref="E131:W131"/>
    <mergeCell ref="O138:Q138"/>
    <mergeCell ref="E117:H117"/>
    <mergeCell ref="I117:W117"/>
    <mergeCell ref="E118:H118"/>
    <mergeCell ref="J118:W118"/>
    <mergeCell ref="E113:H113"/>
    <mergeCell ref="E114:H114"/>
    <mergeCell ref="J114:W114"/>
    <mergeCell ref="E115:H115"/>
    <mergeCell ref="I115:W115"/>
    <mergeCell ref="I113:W113"/>
    <mergeCell ref="E59:H59"/>
    <mergeCell ref="E54:H54"/>
    <mergeCell ref="I54:M54"/>
    <mergeCell ref="E61:H61"/>
    <mergeCell ref="J61:W61"/>
    <mergeCell ref="E57:H57"/>
    <mergeCell ref="E58:H58"/>
    <mergeCell ref="E60:H60"/>
    <mergeCell ref="I58:M58"/>
    <mergeCell ref="N58:W58"/>
    <mergeCell ref="N54:W54"/>
    <mergeCell ref="E55:H55"/>
    <mergeCell ref="J59:W59"/>
    <mergeCell ref="I60:M60"/>
    <mergeCell ref="N60:W60"/>
    <mergeCell ref="I56:M56"/>
    <mergeCell ref="N56:W56"/>
    <mergeCell ref="J57:W57"/>
    <mergeCell ref="J55:W55"/>
    <mergeCell ref="E63:H63"/>
    <mergeCell ref="E62:H62"/>
    <mergeCell ref="J62:W62"/>
    <mergeCell ref="E88:H88"/>
    <mergeCell ref="C91:H91"/>
    <mergeCell ref="D93:W93"/>
    <mergeCell ref="E94:H94"/>
    <mergeCell ref="I94:W94"/>
    <mergeCell ref="E95:H95"/>
    <mergeCell ref="J95:W95"/>
    <mergeCell ref="E87:H87"/>
    <mergeCell ref="J87:W87"/>
    <mergeCell ref="J73:W73"/>
    <mergeCell ref="E70:H70"/>
    <mergeCell ref="I70:M70"/>
    <mergeCell ref="N70:W70"/>
    <mergeCell ref="E71:H71"/>
    <mergeCell ref="E69:H69"/>
    <mergeCell ref="J69:W69"/>
    <mergeCell ref="E85:H85"/>
    <mergeCell ref="E78:H78"/>
    <mergeCell ref="I78:W78"/>
    <mergeCell ref="E73:H73"/>
    <mergeCell ref="C66:H66"/>
    <mergeCell ref="C6:X6"/>
    <mergeCell ref="C3:X3"/>
    <mergeCell ref="C4:X4"/>
    <mergeCell ref="C5:X5"/>
    <mergeCell ref="E13:H13"/>
    <mergeCell ref="E52:H52"/>
    <mergeCell ref="I52:M52"/>
    <mergeCell ref="E42:H42"/>
    <mergeCell ref="I42:M42"/>
    <mergeCell ref="N42:W42"/>
    <mergeCell ref="E43:H43"/>
    <mergeCell ref="J43:W43"/>
    <mergeCell ref="E44:H44"/>
    <mergeCell ref="I44:M44"/>
    <mergeCell ref="N44:W44"/>
    <mergeCell ref="E45:H45"/>
    <mergeCell ref="J45:W45"/>
    <mergeCell ref="I48:M48"/>
    <mergeCell ref="N48:W48"/>
    <mergeCell ref="E49:H49"/>
    <mergeCell ref="J49:W49"/>
    <mergeCell ref="I46:M46"/>
    <mergeCell ref="N46:W46"/>
    <mergeCell ref="J47:W47"/>
    <mergeCell ref="E28:H28"/>
    <mergeCell ref="I28:W28"/>
    <mergeCell ref="E29:H29"/>
    <mergeCell ref="J29:W29"/>
    <mergeCell ref="E30:H30"/>
    <mergeCell ref="E34:H34"/>
    <mergeCell ref="E51:H51"/>
    <mergeCell ref="V1:W1"/>
    <mergeCell ref="C8:H8"/>
    <mergeCell ref="E9:H9"/>
    <mergeCell ref="E10:H10"/>
    <mergeCell ref="I10:M10"/>
    <mergeCell ref="N10:W10"/>
    <mergeCell ref="E17:H17"/>
    <mergeCell ref="J17:W17"/>
    <mergeCell ref="E18:H18"/>
    <mergeCell ref="E14:H14"/>
    <mergeCell ref="I14:M14"/>
    <mergeCell ref="N14:W14"/>
    <mergeCell ref="E15:H15"/>
    <mergeCell ref="J15:W15"/>
    <mergeCell ref="E16:H16"/>
    <mergeCell ref="I16:M16"/>
    <mergeCell ref="E11:H11"/>
    <mergeCell ref="J11:W11"/>
    <mergeCell ref="E12:H12"/>
    <mergeCell ref="I12:M12"/>
    <mergeCell ref="N12:W12"/>
    <mergeCell ref="E26:H26"/>
    <mergeCell ref="E27:H27"/>
    <mergeCell ref="E23:H23"/>
    <mergeCell ref="J23:W23"/>
    <mergeCell ref="E24:H24"/>
    <mergeCell ref="I24:M24"/>
    <mergeCell ref="N24:W24"/>
    <mergeCell ref="E25:H25"/>
    <mergeCell ref="J25:W25"/>
    <mergeCell ref="J27:W27"/>
    <mergeCell ref="N16:W16"/>
    <mergeCell ref="J13:W13"/>
    <mergeCell ref="C20:H20"/>
    <mergeCell ref="E21:H21"/>
    <mergeCell ref="E22:H22"/>
    <mergeCell ref="I22:M22"/>
    <mergeCell ref="N22:W22"/>
    <mergeCell ref="I26:W26"/>
    <mergeCell ref="E67:H67"/>
    <mergeCell ref="E68:H68"/>
    <mergeCell ref="I68:M68"/>
    <mergeCell ref="N68:W68"/>
    <mergeCell ref="I30:W30"/>
    <mergeCell ref="E31:H31"/>
    <mergeCell ref="J31:W31"/>
    <mergeCell ref="I38:M38"/>
    <mergeCell ref="I40:M40"/>
    <mergeCell ref="E35:H35"/>
    <mergeCell ref="J35:W35"/>
    <mergeCell ref="E36:H36"/>
    <mergeCell ref="I36:W36"/>
    <mergeCell ref="E37:H37"/>
    <mergeCell ref="E48:H48"/>
    <mergeCell ref="J41:W41"/>
    <mergeCell ref="E32:H32"/>
    <mergeCell ref="E53:H53"/>
    <mergeCell ref="J53:W53"/>
    <mergeCell ref="I34:W34"/>
    <mergeCell ref="J39:W39"/>
    <mergeCell ref="I32:W32"/>
    <mergeCell ref="E33:H33"/>
    <mergeCell ref="J33:W33"/>
    <mergeCell ref="J85:W85"/>
    <mergeCell ref="E74:H74"/>
    <mergeCell ref="I74:W74"/>
    <mergeCell ref="E75:H75"/>
    <mergeCell ref="J75:W75"/>
    <mergeCell ref="E72:H72"/>
    <mergeCell ref="E82:H82"/>
    <mergeCell ref="I82:W82"/>
    <mergeCell ref="E83:H83"/>
    <mergeCell ref="J83:W83"/>
    <mergeCell ref="E79:H79"/>
    <mergeCell ref="J79:W79"/>
    <mergeCell ref="E80:H80"/>
    <mergeCell ref="I80:W80"/>
    <mergeCell ref="E81:H81"/>
    <mergeCell ref="J81:W81"/>
    <mergeCell ref="E76:H76"/>
    <mergeCell ref="I76:W76"/>
    <mergeCell ref="E77:H77"/>
    <mergeCell ref="J77:W77"/>
    <mergeCell ref="E84:H84"/>
    <mergeCell ref="I84:M84"/>
    <mergeCell ref="N84:W84"/>
    <mergeCell ref="I72:W72"/>
    <mergeCell ref="D182:D183"/>
    <mergeCell ref="M183:N183"/>
    <mergeCell ref="T167:V167"/>
    <mergeCell ref="T168:V168"/>
    <mergeCell ref="T169:V169"/>
    <mergeCell ref="T170:V170"/>
    <mergeCell ref="T171:V171"/>
    <mergeCell ref="T158:V158"/>
    <mergeCell ref="T159:V159"/>
    <mergeCell ref="T160:V160"/>
    <mergeCell ref="I158:J158"/>
    <mergeCell ref="I159:J159"/>
    <mergeCell ref="I160:J160"/>
    <mergeCell ref="I161:J161"/>
    <mergeCell ref="E176:W176"/>
    <mergeCell ref="E175:W175"/>
    <mergeCell ref="E170:H170"/>
    <mergeCell ref="E174:W174"/>
    <mergeCell ref="K163:L163"/>
    <mergeCell ref="K169:L169"/>
    <mergeCell ref="K170:L170"/>
    <mergeCell ref="K171:L171"/>
    <mergeCell ref="E161:H161"/>
    <mergeCell ref="E162:H162"/>
    <mergeCell ref="M164:N164"/>
    <mergeCell ref="M165:N165"/>
    <mergeCell ref="M171:N171"/>
    <mergeCell ref="E173:W173"/>
    <mergeCell ref="K161:L161"/>
    <mergeCell ref="K162:L162"/>
    <mergeCell ref="E101:H101"/>
    <mergeCell ref="J101:W101"/>
    <mergeCell ref="C109:H109"/>
    <mergeCell ref="E111:H111"/>
    <mergeCell ref="I111:M111"/>
    <mergeCell ref="N111:W111"/>
    <mergeCell ref="E112:H112"/>
    <mergeCell ref="J112:W112"/>
    <mergeCell ref="E102:H102"/>
    <mergeCell ref="I102:M102"/>
    <mergeCell ref="N102:W102"/>
    <mergeCell ref="E103:H103"/>
    <mergeCell ref="J103:W103"/>
    <mergeCell ref="E104:H104"/>
    <mergeCell ref="I104:W104"/>
    <mergeCell ref="J105:W105"/>
    <mergeCell ref="E116:H116"/>
    <mergeCell ref="J116:W116"/>
    <mergeCell ref="E86:H86"/>
    <mergeCell ref="I86:M86"/>
    <mergeCell ref="N86:W86"/>
    <mergeCell ref="J97:W97"/>
    <mergeCell ref="E99:H99"/>
    <mergeCell ref="J99:W99"/>
    <mergeCell ref="E100:H100"/>
    <mergeCell ref="I100:M100"/>
    <mergeCell ref="N100:W100"/>
    <mergeCell ref="E98:H98"/>
    <mergeCell ref="I98:W98"/>
    <mergeCell ref="E96:H96"/>
    <mergeCell ref="I96:W96"/>
    <mergeCell ref="E97:H97"/>
  </mergeCells>
  <phoneticPr fontId="5"/>
  <conditionalFormatting sqref="I10:M10">
    <cfRule type="expression" dxfId="295" priority="296" stopIfTrue="1">
      <formula>ISBLANK($I10)</formula>
    </cfRule>
  </conditionalFormatting>
  <conditionalFormatting sqref="I12:M12">
    <cfRule type="expression" dxfId="294" priority="295" stopIfTrue="1">
      <formula>AND($I12&lt;&gt;"個人", $I12&lt;&gt;"法人")</formula>
    </cfRule>
  </conditionalFormatting>
  <conditionalFormatting sqref="I14:M14">
    <cfRule type="expression" dxfId="293" priority="294" stopIfTrue="1">
      <formula>AND($I14&lt;&gt;"無", $I14&lt;&gt;"有")</formula>
    </cfRule>
  </conditionalFormatting>
  <conditionalFormatting sqref="I16:M16">
    <cfRule type="expression" dxfId="292" priority="293" stopIfTrue="1">
      <formula>AND($I16&lt;&gt;"無", $I16&lt;&gt;"有")</formula>
    </cfRule>
  </conditionalFormatting>
  <conditionalFormatting sqref="I22:M22">
    <cfRule type="expression" dxfId="291" priority="292" stopIfTrue="1">
      <formula>AND($I22&lt;&gt;"市内", $I22&lt;&gt;"県内", $I22&lt;&gt;"県外")</formula>
    </cfRule>
  </conditionalFormatting>
  <conditionalFormatting sqref="I24:M24">
    <cfRule type="expression" dxfId="290" priority="291" stopIfTrue="1">
      <formula>ISBLANK($I24)</formula>
    </cfRule>
  </conditionalFormatting>
  <conditionalFormatting sqref="I26:W26">
    <cfRule type="expression" dxfId="289" priority="290" stopIfTrue="1">
      <formula>AND(I26&lt;&gt;"", OR(ISERROR(FIND("@"&amp;LEFT(I26,3)&amp;"@",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ISERROR(FIND("@"&amp;LEFT(I26,4)&amp;"@","@神奈川県@和歌山県@鹿児島県@"))=FALSE))=FALSE</formula>
    </cfRule>
  </conditionalFormatting>
  <conditionalFormatting sqref="I28:W28">
    <cfRule type="expression" dxfId="288" priority="289" stopIfTrue="1">
      <formula>ISBLANK($I28)</formula>
    </cfRule>
  </conditionalFormatting>
  <conditionalFormatting sqref="I30:W30">
    <cfRule type="expression" dxfId="287" priority="288" stopIfTrue="1">
      <formula>ISBLANK($I30)</formula>
    </cfRule>
  </conditionalFormatting>
  <conditionalFormatting sqref="I32:W32">
    <cfRule type="expression" dxfId="286" priority="287" stopIfTrue="1">
      <formula>ISBLANK($I32)</formula>
    </cfRule>
  </conditionalFormatting>
  <conditionalFormatting sqref="I36:W36">
    <cfRule type="expression" dxfId="285" priority="286" stopIfTrue="1">
      <formula>ISBLANK($I36)</formula>
    </cfRule>
  </conditionalFormatting>
  <conditionalFormatting sqref="I38:M38">
    <cfRule type="expression" dxfId="284" priority="285" stopIfTrue="1">
      <formula>ISBLANK($I38)</formula>
    </cfRule>
  </conditionalFormatting>
  <conditionalFormatting sqref="I40:M40">
    <cfRule type="expression" dxfId="283" priority="284" stopIfTrue="1">
      <formula>ISBLANK($I40)</formula>
    </cfRule>
  </conditionalFormatting>
  <conditionalFormatting sqref="I42:M42">
    <cfRule type="expression" dxfId="282" priority="283" stopIfTrue="1">
      <formula>ISBLANK($I42)</formula>
    </cfRule>
  </conditionalFormatting>
  <conditionalFormatting sqref="I44:M44">
    <cfRule type="expression" dxfId="281" priority="282" stopIfTrue="1">
      <formula>AND($I44&lt;&gt;"未加入", $I44&lt;&gt;"加入済", $I44&lt;&gt;"適用除外")</formula>
    </cfRule>
  </conditionalFormatting>
  <conditionalFormatting sqref="I46:M46">
    <cfRule type="expression" dxfId="280" priority="281" stopIfTrue="1">
      <formula>ISBLANK($I46)</formula>
    </cfRule>
  </conditionalFormatting>
  <conditionalFormatting sqref="I48:M48">
    <cfRule type="expression" dxfId="279" priority="280" stopIfTrue="1">
      <formula>ISBLANK($I48)</formula>
    </cfRule>
  </conditionalFormatting>
  <conditionalFormatting sqref="I50:M50">
    <cfRule type="expression" dxfId="278" priority="279" stopIfTrue="1">
      <formula>AND($I50&lt;&gt;"なし", $I50&lt;&gt;"会社更生法", $I50&lt;&gt;"民事再生法")</formula>
    </cfRule>
  </conditionalFormatting>
  <conditionalFormatting sqref="I52:M52">
    <cfRule type="expression" dxfId="277" priority="278" stopIfTrue="1">
      <formula>AND(OR(I50="会社更生法",I50="民事再生法"), AND(ISBLANK(I52), ISBLANK(I54)))</formula>
    </cfRule>
  </conditionalFormatting>
  <conditionalFormatting sqref="I54:M54">
    <cfRule type="expression" dxfId="276" priority="277" stopIfTrue="1">
      <formula>AND(OR(I50="会社更生法",I50="民事再生法"), AND(ISBLANK(I52), ISBLANK(I54)))</formula>
    </cfRule>
  </conditionalFormatting>
  <conditionalFormatting sqref="I56:M56">
    <cfRule type="expression" dxfId="275" priority="276" stopIfTrue="1">
      <formula>ISBLANK($I56)</formula>
    </cfRule>
  </conditionalFormatting>
  <conditionalFormatting sqref="I58:M58">
    <cfRule type="expression" dxfId="274" priority="275" stopIfTrue="1">
      <formula>AND($I58&lt;&gt;"請求中", $I58&lt;&gt;"受領済")</formula>
    </cfRule>
  </conditionalFormatting>
  <conditionalFormatting sqref="I60:M60">
    <cfRule type="expression" dxfId="273" priority="274" stopIfTrue="1">
      <formula>AND(I22&lt;&gt;"県外", ISBLANK($I60))</formula>
    </cfRule>
  </conditionalFormatting>
  <conditionalFormatting sqref="I68:M68">
    <cfRule type="expression" dxfId="272" priority="273" stopIfTrue="1">
      <formula>AND(I14="有",AND($I68&lt;&gt;"市内", $I68&lt;&gt;"県内", $I68&lt;&gt;"県外"))</formula>
    </cfRule>
  </conditionalFormatting>
  <conditionalFormatting sqref="I70:M70">
    <cfRule type="expression" dxfId="271" priority="272" stopIfTrue="1">
      <formula>AND($I14="有",ISBLANK($I70))</formula>
    </cfRule>
  </conditionalFormatting>
  <conditionalFormatting sqref="I72:W72">
    <cfRule type="expression" dxfId="270" priority="271" stopIfTrue="1">
      <formula>AND(I14="有", AND(I72&lt;&gt;"", OR(ISERROR(FIND("@"&amp;LEFT(I72,3)&amp;"@",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ISERROR(FIND("@"&amp;LEFT(I72,4)&amp;"@","@神奈川県@和歌山県@鹿児島県@"))=FALSE))=FALSE)</formula>
    </cfRule>
  </conditionalFormatting>
  <conditionalFormatting sqref="I74:W74">
    <cfRule type="expression" dxfId="269" priority="270" stopIfTrue="1">
      <formula>AND($I14="有",ISBLANK($I74))</formula>
    </cfRule>
  </conditionalFormatting>
  <conditionalFormatting sqref="I76:W76">
    <cfRule type="expression" dxfId="268" priority="269" stopIfTrue="1">
      <formula>AND($I14="有",ISBLANK($I76))</formula>
    </cfRule>
  </conditionalFormatting>
  <conditionalFormatting sqref="I78:W78">
    <cfRule type="expression" dxfId="267" priority="268" stopIfTrue="1">
      <formula>AND($I14="有",ISBLANK($I78))</formula>
    </cfRule>
  </conditionalFormatting>
  <conditionalFormatting sqref="I82:W82">
    <cfRule type="expression" dxfId="266" priority="267" stopIfTrue="1">
      <formula>AND($I14="有",ISBLANK($I82))</formula>
    </cfRule>
  </conditionalFormatting>
  <conditionalFormatting sqref="I84:M84">
    <cfRule type="expression" dxfId="265" priority="266" stopIfTrue="1">
      <formula>AND($I14="有",ISBLANK($I84))</formula>
    </cfRule>
  </conditionalFormatting>
  <conditionalFormatting sqref="I86:M86">
    <cfRule type="expression" dxfId="264" priority="265" stopIfTrue="1">
      <formula>AND($I14="有",ISBLANK($I86))</formula>
    </cfRule>
  </conditionalFormatting>
  <conditionalFormatting sqref="I94:W94">
    <cfRule type="expression" dxfId="263" priority="264" stopIfTrue="1">
      <formula>ISBLANK($I94)</formula>
    </cfRule>
  </conditionalFormatting>
  <conditionalFormatting sqref="I98:W98">
    <cfRule type="expression" dxfId="262" priority="263" stopIfTrue="1">
      <formula>ISBLANK($I98)</formula>
    </cfRule>
  </conditionalFormatting>
  <conditionalFormatting sqref="I100:M100">
    <cfRule type="expression" dxfId="261" priority="262" stopIfTrue="1">
      <formula>ISBLANK($I100)</formula>
    </cfRule>
  </conditionalFormatting>
  <conditionalFormatting sqref="I111:M111">
    <cfRule type="expression" dxfId="260" priority="261" stopIfTrue="1">
      <formula>AND($I16="有",ISBLANK($I111))</formula>
    </cfRule>
  </conditionalFormatting>
  <conditionalFormatting sqref="I113:W113">
    <cfRule type="expression" dxfId="259" priority="260" stopIfTrue="1">
      <formula>AND(I16="有", AND(I113&lt;&gt;"", OR(ISERROR(FIND("@"&amp;LEFT(I113,3)&amp;"@",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ISERROR(FIND("@"&amp;LEFT(I113,4)&amp;"@","@神奈川県@和歌山県@鹿児島県@"))=FALSE))=FALSE)</formula>
    </cfRule>
  </conditionalFormatting>
  <conditionalFormatting sqref="I117:W117">
    <cfRule type="expression" dxfId="258" priority="259" stopIfTrue="1">
      <formula>AND($I16="有",ISBLANK($I117))</formula>
    </cfRule>
  </conditionalFormatting>
  <conditionalFormatting sqref="I119:M119">
    <cfRule type="expression" dxfId="257" priority="258" stopIfTrue="1">
      <formula>AND($I16="有",ISBLANK($I119))</formula>
    </cfRule>
  </conditionalFormatting>
  <conditionalFormatting sqref="K129:N129">
    <cfRule type="expression" dxfId="256" priority="257" stopIfTrue="1">
      <formula>AND($H129="取得", $K129="")</formula>
    </cfRule>
  </conditionalFormatting>
  <conditionalFormatting sqref="K130:N130">
    <cfRule type="expression" dxfId="255" priority="256" stopIfTrue="1">
      <formula>AND($H130="取得", $K130="")</formula>
    </cfRule>
  </conditionalFormatting>
  <conditionalFormatting sqref="K140:L140">
    <cfRule type="expression" dxfId="254" priority="255" stopIfTrue="1">
      <formula>AND($I140="する", AND($K140&lt;&gt;"一般", $K140&lt;&gt;"特定", $K140&lt;&gt;"両方"))</formula>
    </cfRule>
  </conditionalFormatting>
  <conditionalFormatting sqref="M140:N140">
    <cfRule type="expression" dxfId="253" priority="254" stopIfTrue="1">
      <formula>AND($I140="する", $M140="")</formula>
    </cfRule>
  </conditionalFormatting>
  <conditionalFormatting sqref="O140">
    <cfRule type="expression" dxfId="252" priority="253" stopIfTrue="1">
      <formula>AND($I140="する", $O140="")</formula>
    </cfRule>
  </conditionalFormatting>
  <conditionalFormatting sqref="P140">
    <cfRule type="expression" dxfId="251" priority="252" stopIfTrue="1">
      <formula>AND($I140="する", $P140="")</formula>
    </cfRule>
  </conditionalFormatting>
  <conditionalFormatting sqref="Q140">
    <cfRule type="expression" dxfId="250" priority="251" stopIfTrue="1">
      <formula>AND($I140="する", $Q140="")</formula>
    </cfRule>
  </conditionalFormatting>
  <conditionalFormatting sqref="R140">
    <cfRule type="expression" dxfId="249" priority="250" stopIfTrue="1">
      <formula>AND($I140="する", $R140="")</formula>
    </cfRule>
  </conditionalFormatting>
  <conditionalFormatting sqref="S140">
    <cfRule type="expression" dxfId="248" priority="249" stopIfTrue="1">
      <formula>AND($I140="する", $S140="")</formula>
    </cfRule>
  </conditionalFormatting>
  <conditionalFormatting sqref="T140:V140">
    <cfRule type="expression" dxfId="247" priority="248" stopIfTrue="1">
      <formula>AND($I140="する", $T140&lt;5000)</formula>
    </cfRule>
  </conditionalFormatting>
  <conditionalFormatting sqref="M141:N141">
    <cfRule type="expression" dxfId="246" priority="247" stopIfTrue="1">
      <formula>AND($I141="する", $M141="")</formula>
    </cfRule>
  </conditionalFormatting>
  <conditionalFormatting sqref="O141">
    <cfRule type="expression" dxfId="245" priority="246" stopIfTrue="1">
      <formula>AND($I141="する", $O141="")</formula>
    </cfRule>
  </conditionalFormatting>
  <conditionalFormatting sqref="P141">
    <cfRule type="expression" dxfId="244" priority="245" stopIfTrue="1">
      <formula>AND($I141="する", $P141="")</formula>
    </cfRule>
  </conditionalFormatting>
  <conditionalFormatting sqref="Q141">
    <cfRule type="expression" dxfId="243" priority="244" stopIfTrue="1">
      <formula>AND($I141="する", $Q141="")</formula>
    </cfRule>
  </conditionalFormatting>
  <conditionalFormatting sqref="R141">
    <cfRule type="expression" dxfId="242" priority="243" stopIfTrue="1">
      <formula>AND($I141="する", $R141="")</formula>
    </cfRule>
  </conditionalFormatting>
  <conditionalFormatting sqref="S141">
    <cfRule type="expression" dxfId="241" priority="242" stopIfTrue="1">
      <formula>AND($I141="する", $S141="")</formula>
    </cfRule>
  </conditionalFormatting>
  <conditionalFormatting sqref="T141:V141">
    <cfRule type="expression" dxfId="240" priority="241" stopIfTrue="1">
      <formula>AND($I141="する", $T141="")</formula>
    </cfRule>
  </conditionalFormatting>
  <conditionalFormatting sqref="K142:L142">
    <cfRule type="expression" dxfId="239" priority="240" stopIfTrue="1">
      <formula>AND($I142="する", AND($K142&lt;&gt;"一般", $K142&lt;&gt;"特定", $K142&lt;&gt;"両方"))</formula>
    </cfRule>
  </conditionalFormatting>
  <conditionalFormatting sqref="M142:N142">
    <cfRule type="expression" dxfId="238" priority="239" stopIfTrue="1">
      <formula>AND($I142="する", $M142="")</formula>
    </cfRule>
  </conditionalFormatting>
  <conditionalFormatting sqref="O142">
    <cfRule type="expression" dxfId="237" priority="238" stopIfTrue="1">
      <formula>AND($I142="する", $O142="")</formula>
    </cfRule>
  </conditionalFormatting>
  <conditionalFormatting sqref="P142">
    <cfRule type="expression" dxfId="236" priority="237" stopIfTrue="1">
      <formula>AND($I142="する", $P142="")</formula>
    </cfRule>
  </conditionalFormatting>
  <conditionalFormatting sqref="Q142">
    <cfRule type="expression" dxfId="235" priority="236" stopIfTrue="1">
      <formula>AND($I142="する", $Q142="")</formula>
    </cfRule>
  </conditionalFormatting>
  <conditionalFormatting sqref="R142">
    <cfRule type="expression" dxfId="234" priority="235" stopIfTrue="1">
      <formula>AND($I142="する", $R142="")</formula>
    </cfRule>
  </conditionalFormatting>
  <conditionalFormatting sqref="S142">
    <cfRule type="expression" dxfId="233" priority="234" stopIfTrue="1">
      <formula>AND($I142="する", $S142="")</formula>
    </cfRule>
  </conditionalFormatting>
  <conditionalFormatting sqref="T142:V142">
    <cfRule type="expression" dxfId="232" priority="233" stopIfTrue="1">
      <formula>AND($I142="する", $T142&lt;5000)</formula>
    </cfRule>
  </conditionalFormatting>
  <conditionalFormatting sqref="K143:L143">
    <cfRule type="expression" dxfId="231" priority="232" stopIfTrue="1">
      <formula>AND($I143="する", AND($K143&lt;&gt;"一般", $K143&lt;&gt;"特定", $K143&lt;&gt;"両方"))</formula>
    </cfRule>
  </conditionalFormatting>
  <conditionalFormatting sqref="M143:N143">
    <cfRule type="expression" dxfId="230" priority="231" stopIfTrue="1">
      <formula>AND($I143="する", $M143="")</formula>
    </cfRule>
  </conditionalFormatting>
  <conditionalFormatting sqref="O143">
    <cfRule type="expression" dxfId="229" priority="230" stopIfTrue="1">
      <formula>AND($I143="する", $O143="")</formula>
    </cfRule>
  </conditionalFormatting>
  <conditionalFormatting sqref="P143">
    <cfRule type="expression" dxfId="228" priority="229" stopIfTrue="1">
      <formula>AND($I143="する", $P143="")</formula>
    </cfRule>
  </conditionalFormatting>
  <conditionalFormatting sqref="Q143">
    <cfRule type="expression" dxfId="227" priority="228" stopIfTrue="1">
      <formula>AND($I143="する", $Q143="")</formula>
    </cfRule>
  </conditionalFormatting>
  <conditionalFormatting sqref="R143">
    <cfRule type="expression" dxfId="226" priority="227" stopIfTrue="1">
      <formula>AND($I143="する", $R143="")</formula>
    </cfRule>
  </conditionalFormatting>
  <conditionalFormatting sqref="S143">
    <cfRule type="expression" dxfId="225" priority="226" stopIfTrue="1">
      <formula>AND($I143="する", $S143="")</formula>
    </cfRule>
  </conditionalFormatting>
  <conditionalFormatting sqref="T143:V143">
    <cfRule type="expression" dxfId="224" priority="225" stopIfTrue="1">
      <formula>AND($I143="する", $T143="")</formula>
    </cfRule>
  </conditionalFormatting>
  <conditionalFormatting sqref="K144:L144">
    <cfRule type="expression" dxfId="223" priority="224" stopIfTrue="1">
      <formula>AND($I144="する", AND($K144&lt;&gt;"一般", $K144&lt;&gt;"特定", $K144&lt;&gt;"両方"))</formula>
    </cfRule>
  </conditionalFormatting>
  <conditionalFormatting sqref="M144:N144">
    <cfRule type="expression" dxfId="222" priority="223" stopIfTrue="1">
      <formula>AND($I144="する", $M144="")</formula>
    </cfRule>
  </conditionalFormatting>
  <conditionalFormatting sqref="O144">
    <cfRule type="expression" dxfId="221" priority="222" stopIfTrue="1">
      <formula>AND($I144="する", $O144="")</formula>
    </cfRule>
  </conditionalFormatting>
  <conditionalFormatting sqref="P144">
    <cfRule type="expression" dxfId="220" priority="221" stopIfTrue="1">
      <formula>AND($I144="する", $P144="")</formula>
    </cfRule>
  </conditionalFormatting>
  <conditionalFormatting sqref="Q144">
    <cfRule type="expression" dxfId="219" priority="220" stopIfTrue="1">
      <formula>AND($I144="する", $Q144="")</formula>
    </cfRule>
  </conditionalFormatting>
  <conditionalFormatting sqref="R144">
    <cfRule type="expression" dxfId="218" priority="219" stopIfTrue="1">
      <formula>AND($I144="する", $R144="")</formula>
    </cfRule>
  </conditionalFormatting>
  <conditionalFormatting sqref="S144">
    <cfRule type="expression" dxfId="217" priority="218" stopIfTrue="1">
      <formula>AND($I144="する", $S144="")</formula>
    </cfRule>
  </conditionalFormatting>
  <conditionalFormatting sqref="T144:V144">
    <cfRule type="expression" dxfId="216" priority="217" stopIfTrue="1">
      <formula>AND($I144="する", $T144="")</formula>
    </cfRule>
  </conditionalFormatting>
  <conditionalFormatting sqref="K145:L145">
    <cfRule type="expression" dxfId="215" priority="216" stopIfTrue="1">
      <formula>AND($I145="する", AND($K145&lt;&gt;"一般", $K145&lt;&gt;"特定", $K145&lt;&gt;"両方"))</formula>
    </cfRule>
  </conditionalFormatting>
  <conditionalFormatting sqref="M145:N145">
    <cfRule type="expression" dxfId="214" priority="215" stopIfTrue="1">
      <formula>AND($I145="する", $M145="")</formula>
    </cfRule>
  </conditionalFormatting>
  <conditionalFormatting sqref="O145">
    <cfRule type="expression" dxfId="213" priority="214" stopIfTrue="1">
      <formula>AND($I145="する", $O145="")</formula>
    </cfRule>
  </conditionalFormatting>
  <conditionalFormatting sqref="P145">
    <cfRule type="expression" dxfId="212" priority="213" stopIfTrue="1">
      <formula>AND($I145="する", $P145="")</formula>
    </cfRule>
  </conditionalFormatting>
  <conditionalFormatting sqref="Q145">
    <cfRule type="expression" dxfId="211" priority="212" stopIfTrue="1">
      <formula>AND($I145="する", $Q145="")</formula>
    </cfRule>
  </conditionalFormatting>
  <conditionalFormatting sqref="R145">
    <cfRule type="expression" dxfId="210" priority="211" stopIfTrue="1">
      <formula>AND($I145="する", $R145="")</formula>
    </cfRule>
  </conditionalFormatting>
  <conditionalFormatting sqref="S145">
    <cfRule type="expression" dxfId="209" priority="210" stopIfTrue="1">
      <formula>AND($I145="する", $S145="")</formula>
    </cfRule>
  </conditionalFormatting>
  <conditionalFormatting sqref="T145:V145">
    <cfRule type="expression" dxfId="208" priority="209" stopIfTrue="1">
      <formula>AND($I145="する", $T145&lt;=0)</formula>
    </cfRule>
  </conditionalFormatting>
  <conditionalFormatting sqref="M146:N146">
    <cfRule type="expression" dxfId="207" priority="208" stopIfTrue="1">
      <formula>AND($I146="する", $M146="")</formula>
    </cfRule>
  </conditionalFormatting>
  <conditionalFormatting sqref="O146">
    <cfRule type="expression" dxfId="206" priority="207" stopIfTrue="1">
      <formula>AND($I146="する", $O146="")</formula>
    </cfRule>
  </conditionalFormatting>
  <conditionalFormatting sqref="P146">
    <cfRule type="expression" dxfId="205" priority="206" stopIfTrue="1">
      <formula>AND($I146="する", $P146="")</formula>
    </cfRule>
  </conditionalFormatting>
  <conditionalFormatting sqref="Q146">
    <cfRule type="expression" dxfId="204" priority="205" stopIfTrue="1">
      <formula>AND($I146="する", $Q146="")</formula>
    </cfRule>
  </conditionalFormatting>
  <conditionalFormatting sqref="R146">
    <cfRule type="expression" dxfId="203" priority="204" stopIfTrue="1">
      <formula>AND($I146="する", $R146="")</formula>
    </cfRule>
  </conditionalFormatting>
  <conditionalFormatting sqref="S146">
    <cfRule type="expression" dxfId="202" priority="203" stopIfTrue="1">
      <formula>AND($I146="する", $S146="")</formula>
    </cfRule>
  </conditionalFormatting>
  <conditionalFormatting sqref="T146:V146">
    <cfRule type="expression" dxfId="201" priority="202" stopIfTrue="1">
      <formula>AND($I146="する", $T146="")</formula>
    </cfRule>
  </conditionalFormatting>
  <conditionalFormatting sqref="K147:L147">
    <cfRule type="expression" dxfId="200" priority="201" stopIfTrue="1">
      <formula>AND($I147="する", AND($K147&lt;&gt;"一般", $K147&lt;&gt;"特定", $K147&lt;&gt;"両方"))</formula>
    </cfRule>
  </conditionalFormatting>
  <conditionalFormatting sqref="M147:N147">
    <cfRule type="expression" dxfId="199" priority="200" stopIfTrue="1">
      <formula>AND($I147="する", $M147="")</formula>
    </cfRule>
  </conditionalFormatting>
  <conditionalFormatting sqref="O147">
    <cfRule type="expression" dxfId="198" priority="199" stopIfTrue="1">
      <formula>AND($I147="する", $O147="")</formula>
    </cfRule>
  </conditionalFormatting>
  <conditionalFormatting sqref="P147">
    <cfRule type="expression" dxfId="197" priority="198" stopIfTrue="1">
      <formula>AND($I147="する", $P147="")</formula>
    </cfRule>
  </conditionalFormatting>
  <conditionalFormatting sqref="Q147">
    <cfRule type="expression" dxfId="196" priority="197" stopIfTrue="1">
      <formula>AND($I147="する", $Q147="")</formula>
    </cfRule>
  </conditionalFormatting>
  <conditionalFormatting sqref="R147">
    <cfRule type="expression" dxfId="195" priority="196" stopIfTrue="1">
      <formula>AND($I147="する", $R147="")</formula>
    </cfRule>
  </conditionalFormatting>
  <conditionalFormatting sqref="S147">
    <cfRule type="expression" dxfId="194" priority="195" stopIfTrue="1">
      <formula>AND($I147="する", $S147="")</formula>
    </cfRule>
  </conditionalFormatting>
  <conditionalFormatting sqref="T147:V147">
    <cfRule type="expression" dxfId="193" priority="194" stopIfTrue="1">
      <formula>AND($I147="する", $T147="")</formula>
    </cfRule>
  </conditionalFormatting>
  <conditionalFormatting sqref="K148:L148">
    <cfRule type="expression" dxfId="192" priority="193" stopIfTrue="1">
      <formula>AND($I148="する", AND($K148&lt;&gt;"一般", $K148&lt;&gt;"特定", $K148&lt;&gt;"両方"))</formula>
    </cfRule>
  </conditionalFormatting>
  <conditionalFormatting sqref="M148:N148">
    <cfRule type="expression" dxfId="191" priority="192" stopIfTrue="1">
      <formula>AND($I148="する", $M148="")</formula>
    </cfRule>
  </conditionalFormatting>
  <conditionalFormatting sqref="O148">
    <cfRule type="expression" dxfId="190" priority="191" stopIfTrue="1">
      <formula>AND($I148="する", $O148="")</formula>
    </cfRule>
  </conditionalFormatting>
  <conditionalFormatting sqref="P148">
    <cfRule type="expression" dxfId="189" priority="190" stopIfTrue="1">
      <formula>AND($I148="する", $P148="")</formula>
    </cfRule>
  </conditionalFormatting>
  <conditionalFormatting sqref="Q148">
    <cfRule type="expression" dxfId="188" priority="189" stopIfTrue="1">
      <formula>AND($I148="する", $Q148="")</formula>
    </cfRule>
  </conditionalFormatting>
  <conditionalFormatting sqref="R148">
    <cfRule type="expression" dxfId="187" priority="188" stopIfTrue="1">
      <formula>AND($I148="する", $R148="")</formula>
    </cfRule>
  </conditionalFormatting>
  <conditionalFormatting sqref="S148">
    <cfRule type="expression" dxfId="186" priority="187" stopIfTrue="1">
      <formula>AND($I148="する", $S148="")</formula>
    </cfRule>
  </conditionalFormatting>
  <conditionalFormatting sqref="T148:V148">
    <cfRule type="expression" dxfId="185" priority="186" stopIfTrue="1">
      <formula>AND($I148="する", $T148="")</formula>
    </cfRule>
  </conditionalFormatting>
  <conditionalFormatting sqref="K149:L149">
    <cfRule type="expression" dxfId="184" priority="185" stopIfTrue="1">
      <formula>AND($I149="する", AND($K149&lt;&gt;"一般", $K149&lt;&gt;"特定", $K149&lt;&gt;"両方"))</formula>
    </cfRule>
  </conditionalFormatting>
  <conditionalFormatting sqref="M149:N149">
    <cfRule type="expression" dxfId="183" priority="184" stopIfTrue="1">
      <formula>AND($I149="する", $M149="")</formula>
    </cfRule>
  </conditionalFormatting>
  <conditionalFormatting sqref="O149">
    <cfRule type="expression" dxfId="182" priority="183" stopIfTrue="1">
      <formula>AND($I149="する", $O149="")</formula>
    </cfRule>
  </conditionalFormatting>
  <conditionalFormatting sqref="P149">
    <cfRule type="expression" dxfId="181" priority="182" stopIfTrue="1">
      <formula>AND($I149="する", $P149="")</formula>
    </cfRule>
  </conditionalFormatting>
  <conditionalFormatting sqref="Q149">
    <cfRule type="expression" dxfId="180" priority="181" stopIfTrue="1">
      <formula>AND($I149="する", $Q149="")</formula>
    </cfRule>
  </conditionalFormatting>
  <conditionalFormatting sqref="R149">
    <cfRule type="expression" dxfId="179" priority="180" stopIfTrue="1">
      <formula>AND($I149="する", $R149="")</formula>
    </cfRule>
  </conditionalFormatting>
  <conditionalFormatting sqref="S149">
    <cfRule type="expression" dxfId="178" priority="179" stopIfTrue="1">
      <formula>AND($I149="する", $S149="")</formula>
    </cfRule>
  </conditionalFormatting>
  <conditionalFormatting sqref="T149:V149">
    <cfRule type="expression" dxfId="177" priority="178" stopIfTrue="1">
      <formula>AND($I149="する", $T149&lt;5000)</formula>
    </cfRule>
  </conditionalFormatting>
  <conditionalFormatting sqref="K150:L150">
    <cfRule type="expression" dxfId="176" priority="177" stopIfTrue="1">
      <formula>AND($I150="する", AND($K150&lt;&gt;"一般", $K150&lt;&gt;"特定", $K150&lt;&gt;"両方"))</formula>
    </cfRule>
  </conditionalFormatting>
  <conditionalFormatting sqref="M150:N150">
    <cfRule type="expression" dxfId="175" priority="176" stopIfTrue="1">
      <formula>AND($I150="する", $M150="")</formula>
    </cfRule>
  </conditionalFormatting>
  <conditionalFormatting sqref="O150">
    <cfRule type="expression" dxfId="174" priority="175" stopIfTrue="1">
      <formula>AND($I150="する", $O150="")</formula>
    </cfRule>
  </conditionalFormatting>
  <conditionalFormatting sqref="P150">
    <cfRule type="expression" dxfId="173" priority="174" stopIfTrue="1">
      <formula>AND($I150="する", $P150="")</formula>
    </cfRule>
  </conditionalFormatting>
  <conditionalFormatting sqref="Q150">
    <cfRule type="expression" dxfId="172" priority="173" stopIfTrue="1">
      <formula>AND($I150="する", $Q150="")</formula>
    </cfRule>
  </conditionalFormatting>
  <conditionalFormatting sqref="R150">
    <cfRule type="expression" dxfId="171" priority="172" stopIfTrue="1">
      <formula>AND($I150="する", $R150="")</formula>
    </cfRule>
  </conditionalFormatting>
  <conditionalFormatting sqref="S150">
    <cfRule type="expression" dxfId="170" priority="171" stopIfTrue="1">
      <formula>AND($I150="する", $S150="")</formula>
    </cfRule>
  </conditionalFormatting>
  <conditionalFormatting sqref="T150:V150">
    <cfRule type="expression" dxfId="169" priority="170" stopIfTrue="1">
      <formula>AND($I150="する", $T150&lt;5000)</formula>
    </cfRule>
  </conditionalFormatting>
  <conditionalFormatting sqref="K151:L151">
    <cfRule type="expression" dxfId="168" priority="169" stopIfTrue="1">
      <formula>AND($I151="する", AND($K151&lt;&gt;"一般", $K151&lt;&gt;"特定", $K151&lt;&gt;"両方"))</formula>
    </cfRule>
  </conditionalFormatting>
  <conditionalFormatting sqref="M151:N151">
    <cfRule type="expression" dxfId="167" priority="168" stopIfTrue="1">
      <formula>AND($I151="する", $M151="")</formula>
    </cfRule>
  </conditionalFormatting>
  <conditionalFormatting sqref="O151">
    <cfRule type="expression" dxfId="166" priority="167" stopIfTrue="1">
      <formula>AND($I151="する", $O151="")</formula>
    </cfRule>
  </conditionalFormatting>
  <conditionalFormatting sqref="P151">
    <cfRule type="expression" dxfId="165" priority="166" stopIfTrue="1">
      <formula>AND($I151="する", $P151="")</formula>
    </cfRule>
  </conditionalFormatting>
  <conditionalFormatting sqref="Q151">
    <cfRule type="expression" dxfId="164" priority="165" stopIfTrue="1">
      <formula>AND($I151="する", $Q151="")</formula>
    </cfRule>
  </conditionalFormatting>
  <conditionalFormatting sqref="R151">
    <cfRule type="expression" dxfId="163" priority="164" stopIfTrue="1">
      <formula>AND($I151="する", $R151="")</formula>
    </cfRule>
  </conditionalFormatting>
  <conditionalFormatting sqref="S151">
    <cfRule type="expression" dxfId="162" priority="163" stopIfTrue="1">
      <formula>AND($I151="する", $S151="")</formula>
    </cfRule>
  </conditionalFormatting>
  <conditionalFormatting sqref="T151:V151">
    <cfRule type="expression" dxfId="161" priority="162" stopIfTrue="1">
      <formula>AND($I151="する", $T151="")</formula>
    </cfRule>
  </conditionalFormatting>
  <conditionalFormatting sqref="K152:L152">
    <cfRule type="expression" dxfId="160" priority="161" stopIfTrue="1">
      <formula>AND($I152="する", AND($K152&lt;&gt;"一般", $K152&lt;&gt;"特定", $K152&lt;&gt;"両方"))</formula>
    </cfRule>
  </conditionalFormatting>
  <conditionalFormatting sqref="M152:N152">
    <cfRule type="expression" dxfId="159" priority="160" stopIfTrue="1">
      <formula>AND($I152="する", $M152="")</formula>
    </cfRule>
  </conditionalFormatting>
  <conditionalFormatting sqref="O152">
    <cfRule type="expression" dxfId="158" priority="159" stopIfTrue="1">
      <formula>AND($I152="する", $O152="")</formula>
    </cfRule>
  </conditionalFormatting>
  <conditionalFormatting sqref="P152">
    <cfRule type="expression" dxfId="157" priority="158" stopIfTrue="1">
      <formula>AND($I152="する", $P152="")</formula>
    </cfRule>
  </conditionalFormatting>
  <conditionalFormatting sqref="Q152">
    <cfRule type="expression" dxfId="156" priority="157" stopIfTrue="1">
      <formula>AND($I152="する", $Q152="")</formula>
    </cfRule>
  </conditionalFormatting>
  <conditionalFormatting sqref="R152">
    <cfRule type="expression" dxfId="155" priority="156" stopIfTrue="1">
      <formula>AND($I152="する", $R152="")</formula>
    </cfRule>
  </conditionalFormatting>
  <conditionalFormatting sqref="S152">
    <cfRule type="expression" dxfId="154" priority="155" stopIfTrue="1">
      <formula>AND($I152="する", $S152="")</formula>
    </cfRule>
  </conditionalFormatting>
  <conditionalFormatting sqref="T152:V152">
    <cfRule type="expression" dxfId="153" priority="154" stopIfTrue="1">
      <formula>AND($I152="する", $T152&lt;=0)</formula>
    </cfRule>
  </conditionalFormatting>
  <conditionalFormatting sqref="M153:N153">
    <cfRule type="expression" dxfId="152" priority="153" stopIfTrue="1">
      <formula>AND($I153="する", $M153="")</formula>
    </cfRule>
  </conditionalFormatting>
  <conditionalFormatting sqref="O153">
    <cfRule type="expression" dxfId="151" priority="152" stopIfTrue="1">
      <formula>AND($I153="する", $O153="")</formula>
    </cfRule>
  </conditionalFormatting>
  <conditionalFormatting sqref="P153">
    <cfRule type="expression" dxfId="150" priority="151" stopIfTrue="1">
      <formula>AND($I153="する", $P153="")</formula>
    </cfRule>
  </conditionalFormatting>
  <conditionalFormatting sqref="Q153">
    <cfRule type="expression" dxfId="149" priority="150" stopIfTrue="1">
      <formula>AND($I153="する", $Q153="")</formula>
    </cfRule>
  </conditionalFormatting>
  <conditionalFormatting sqref="R153">
    <cfRule type="expression" dxfId="148" priority="149" stopIfTrue="1">
      <formula>AND($I153="する", $R153="")</formula>
    </cfRule>
  </conditionalFormatting>
  <conditionalFormatting sqref="S153">
    <cfRule type="expression" dxfId="147" priority="148" stopIfTrue="1">
      <formula>AND($I153="する", $S153="")</formula>
    </cfRule>
  </conditionalFormatting>
  <conditionalFormatting sqref="T153:V153">
    <cfRule type="expression" dxfId="146" priority="147" stopIfTrue="1">
      <formula>AND($I153="する", $T153="")</formula>
    </cfRule>
  </conditionalFormatting>
  <conditionalFormatting sqref="K154:L154">
    <cfRule type="expression" dxfId="145" priority="146" stopIfTrue="1">
      <formula>AND($I154="する", AND($K154&lt;&gt;"一般", $K154&lt;&gt;"特定", $K154&lt;&gt;"両方"))</formula>
    </cfRule>
  </conditionalFormatting>
  <conditionalFormatting sqref="M154:N154">
    <cfRule type="expression" dxfId="144" priority="145" stopIfTrue="1">
      <formula>AND($I154="する", $M154="")</formula>
    </cfRule>
  </conditionalFormatting>
  <conditionalFormatting sqref="O154">
    <cfRule type="expression" dxfId="143" priority="144" stopIfTrue="1">
      <formula>AND($I154="する", $O154="")</formula>
    </cfRule>
  </conditionalFormatting>
  <conditionalFormatting sqref="P154">
    <cfRule type="expression" dxfId="142" priority="143" stopIfTrue="1">
      <formula>AND($I154="する", $P154="")</formula>
    </cfRule>
  </conditionalFormatting>
  <conditionalFormatting sqref="Q154">
    <cfRule type="expression" dxfId="141" priority="142" stopIfTrue="1">
      <formula>AND($I154="する", $Q154="")</formula>
    </cfRule>
  </conditionalFormatting>
  <conditionalFormatting sqref="R154">
    <cfRule type="expression" dxfId="140" priority="141" stopIfTrue="1">
      <formula>AND($I154="する", $R154="")</formula>
    </cfRule>
  </conditionalFormatting>
  <conditionalFormatting sqref="S154">
    <cfRule type="expression" dxfId="139" priority="140" stopIfTrue="1">
      <formula>AND($I154="する", $S154="")</formula>
    </cfRule>
  </conditionalFormatting>
  <conditionalFormatting sqref="T154:V154">
    <cfRule type="expression" dxfId="138" priority="139" stopIfTrue="1">
      <formula>AND($I154="する", $T154="")</formula>
    </cfRule>
  </conditionalFormatting>
  <conditionalFormatting sqref="K155:L155">
    <cfRule type="expression" dxfId="137" priority="138" stopIfTrue="1">
      <formula>AND($I155="する", AND($K155&lt;&gt;"一般", $K155&lt;&gt;"特定", $K155&lt;&gt;"両方"))</formula>
    </cfRule>
  </conditionalFormatting>
  <conditionalFormatting sqref="M155:N155">
    <cfRule type="expression" dxfId="136" priority="137" stopIfTrue="1">
      <formula>AND($I155="する", $M155="")</formula>
    </cfRule>
  </conditionalFormatting>
  <conditionalFormatting sqref="O155">
    <cfRule type="expression" dxfId="135" priority="136" stopIfTrue="1">
      <formula>AND($I155="する", $O155="")</formula>
    </cfRule>
  </conditionalFormatting>
  <conditionalFormatting sqref="P155">
    <cfRule type="expression" dxfId="134" priority="135" stopIfTrue="1">
      <formula>AND($I155="する", $P155="")</formula>
    </cfRule>
  </conditionalFormatting>
  <conditionalFormatting sqref="Q155">
    <cfRule type="expression" dxfId="133" priority="134" stopIfTrue="1">
      <formula>AND($I155="する", $Q155="")</formula>
    </cfRule>
  </conditionalFormatting>
  <conditionalFormatting sqref="R155">
    <cfRule type="expression" dxfId="132" priority="133" stopIfTrue="1">
      <formula>AND($I155="する", $R155="")</formula>
    </cfRule>
  </conditionalFormatting>
  <conditionalFormatting sqref="S155">
    <cfRule type="expression" dxfId="131" priority="132" stopIfTrue="1">
      <formula>AND($I155="する", $S155="")</formula>
    </cfRule>
  </conditionalFormatting>
  <conditionalFormatting sqref="T155:V155">
    <cfRule type="expression" dxfId="130" priority="131" stopIfTrue="1">
      <formula>AND($I155="する", $T155&lt;5000)</formula>
    </cfRule>
  </conditionalFormatting>
  <conditionalFormatting sqref="K156:L156">
    <cfRule type="expression" dxfId="129" priority="130" stopIfTrue="1">
      <formula>AND($I156="する", AND($K156&lt;&gt;"一般", $K156&lt;&gt;"特定", $K156&lt;&gt;"両方"))</formula>
    </cfRule>
  </conditionalFormatting>
  <conditionalFormatting sqref="M156:N156">
    <cfRule type="expression" dxfId="128" priority="129" stopIfTrue="1">
      <formula>AND($I156="する", $M156="")</formula>
    </cfRule>
  </conditionalFormatting>
  <conditionalFormatting sqref="O156">
    <cfRule type="expression" dxfId="127" priority="128" stopIfTrue="1">
      <formula>AND($I156="する", $O156="")</formula>
    </cfRule>
  </conditionalFormatting>
  <conditionalFormatting sqref="P156">
    <cfRule type="expression" dxfId="126" priority="127" stopIfTrue="1">
      <formula>AND($I156="する", $P156="")</formula>
    </cfRule>
  </conditionalFormatting>
  <conditionalFormatting sqref="Q156">
    <cfRule type="expression" dxfId="125" priority="126" stopIfTrue="1">
      <formula>AND($I156="する", $Q156="")</formula>
    </cfRule>
  </conditionalFormatting>
  <conditionalFormatting sqref="R156">
    <cfRule type="expression" dxfId="124" priority="125" stopIfTrue="1">
      <formula>AND($I156="する", $R156="")</formula>
    </cfRule>
  </conditionalFormatting>
  <conditionalFormatting sqref="S156">
    <cfRule type="expression" dxfId="123" priority="124" stopIfTrue="1">
      <formula>AND($I156="する", $S156="")</formula>
    </cfRule>
  </conditionalFormatting>
  <conditionalFormatting sqref="T156:V156">
    <cfRule type="expression" dxfId="122" priority="123" stopIfTrue="1">
      <formula>AND($I156="する", $T156="")</formula>
    </cfRule>
  </conditionalFormatting>
  <conditionalFormatting sqref="K157:L157">
    <cfRule type="expression" dxfId="121" priority="122" stopIfTrue="1">
      <formula>AND($I157="する", AND($K157&lt;&gt;"一般", $K157&lt;&gt;"特定", $K157&lt;&gt;"両方"))</formula>
    </cfRule>
  </conditionalFormatting>
  <conditionalFormatting sqref="M157:N157">
    <cfRule type="expression" dxfId="120" priority="121" stopIfTrue="1">
      <formula>AND($I157="する", $M157="")</formula>
    </cfRule>
  </conditionalFormatting>
  <conditionalFormatting sqref="O157">
    <cfRule type="expression" dxfId="119" priority="120" stopIfTrue="1">
      <formula>AND($I157="する", $O157="")</formula>
    </cfRule>
  </conditionalFormatting>
  <conditionalFormatting sqref="P157">
    <cfRule type="expression" dxfId="118" priority="119" stopIfTrue="1">
      <formula>AND($I157="する", $P157="")</formula>
    </cfRule>
  </conditionalFormatting>
  <conditionalFormatting sqref="Q157">
    <cfRule type="expression" dxfId="117" priority="118" stopIfTrue="1">
      <formula>AND($I157="する", $Q157="")</formula>
    </cfRule>
  </conditionalFormatting>
  <conditionalFormatting sqref="R157">
    <cfRule type="expression" dxfId="116" priority="117" stopIfTrue="1">
      <formula>AND($I157="する", $R157="")</formula>
    </cfRule>
  </conditionalFormatting>
  <conditionalFormatting sqref="S157">
    <cfRule type="expression" dxfId="115" priority="116" stopIfTrue="1">
      <formula>AND($I157="する", $S157="")</formula>
    </cfRule>
  </conditionalFormatting>
  <conditionalFormatting sqref="T157:V157">
    <cfRule type="expression" dxfId="114" priority="115" stopIfTrue="1">
      <formula>AND($I157="する", $T157="")</formula>
    </cfRule>
  </conditionalFormatting>
  <conditionalFormatting sqref="K158:L158">
    <cfRule type="expression" dxfId="113" priority="114" stopIfTrue="1">
      <formula>AND($I158="する", AND($K158&lt;&gt;"一般", $K158&lt;&gt;"特定", $K158&lt;&gt;"両方"))</formula>
    </cfRule>
  </conditionalFormatting>
  <conditionalFormatting sqref="M158:N158">
    <cfRule type="expression" dxfId="112" priority="113" stopIfTrue="1">
      <formula>AND($I158="する", $M158="")</formula>
    </cfRule>
  </conditionalFormatting>
  <conditionalFormatting sqref="O158">
    <cfRule type="expression" dxfId="111" priority="112" stopIfTrue="1">
      <formula>AND($I158="する", $O158="")</formula>
    </cfRule>
  </conditionalFormatting>
  <conditionalFormatting sqref="P158">
    <cfRule type="expression" dxfId="110" priority="111" stopIfTrue="1">
      <formula>AND($I158="する", $P158="")</formula>
    </cfRule>
  </conditionalFormatting>
  <conditionalFormatting sqref="Q158">
    <cfRule type="expression" dxfId="109" priority="110" stopIfTrue="1">
      <formula>AND($I158="する", $Q158="")</formula>
    </cfRule>
  </conditionalFormatting>
  <conditionalFormatting sqref="R158">
    <cfRule type="expression" dxfId="108" priority="109" stopIfTrue="1">
      <formula>AND($I158="する", $R158="")</formula>
    </cfRule>
  </conditionalFormatting>
  <conditionalFormatting sqref="S158">
    <cfRule type="expression" dxfId="107" priority="108" stopIfTrue="1">
      <formula>AND($I158="する", $S158="")</formula>
    </cfRule>
  </conditionalFormatting>
  <conditionalFormatting sqref="T158:V158">
    <cfRule type="expression" dxfId="106" priority="107" stopIfTrue="1">
      <formula>AND($I158="する", $T158="")</formula>
    </cfRule>
  </conditionalFormatting>
  <conditionalFormatting sqref="K159:L159">
    <cfRule type="expression" dxfId="105" priority="106" stopIfTrue="1">
      <formula>AND($I159="する", AND($K159&lt;&gt;"一般", $K159&lt;&gt;"特定", $K159&lt;&gt;"両方"))</formula>
    </cfRule>
  </conditionalFormatting>
  <conditionalFormatting sqref="M159:N159">
    <cfRule type="expression" dxfId="104" priority="105" stopIfTrue="1">
      <formula>AND($I159="する", $M159="")</formula>
    </cfRule>
  </conditionalFormatting>
  <conditionalFormatting sqref="O159">
    <cfRule type="expression" dxfId="103" priority="104" stopIfTrue="1">
      <formula>AND($I159="する", $O159="")</formula>
    </cfRule>
  </conditionalFormatting>
  <conditionalFormatting sqref="P159">
    <cfRule type="expression" dxfId="102" priority="103" stopIfTrue="1">
      <formula>AND($I159="する", $P159="")</formula>
    </cfRule>
  </conditionalFormatting>
  <conditionalFormatting sqref="Q159">
    <cfRule type="expression" dxfId="101" priority="102" stopIfTrue="1">
      <formula>AND($I159="する", $Q159="")</formula>
    </cfRule>
  </conditionalFormatting>
  <conditionalFormatting sqref="R159">
    <cfRule type="expression" dxfId="100" priority="101" stopIfTrue="1">
      <formula>AND($I159="する", $R159="")</formula>
    </cfRule>
  </conditionalFormatting>
  <conditionalFormatting sqref="S159">
    <cfRule type="expression" dxfId="99" priority="100" stopIfTrue="1">
      <formula>AND($I159="する", $S159="")</formula>
    </cfRule>
  </conditionalFormatting>
  <conditionalFormatting sqref="T159:V159">
    <cfRule type="expression" dxfId="98" priority="99" stopIfTrue="1">
      <formula>AND($I159="する", $T159&lt;=0)</formula>
    </cfRule>
  </conditionalFormatting>
  <conditionalFormatting sqref="K160:L160">
    <cfRule type="expression" dxfId="97" priority="98" stopIfTrue="1">
      <formula>AND($I160="する", AND($K160&lt;&gt;"一般", $K160&lt;&gt;"特定", $K160&lt;&gt;"両方"))</formula>
    </cfRule>
  </conditionalFormatting>
  <conditionalFormatting sqref="M160:N160">
    <cfRule type="expression" dxfId="96" priority="97" stopIfTrue="1">
      <formula>AND($I160="する", $M160="")</formula>
    </cfRule>
  </conditionalFormatting>
  <conditionalFormatting sqref="O160">
    <cfRule type="expression" dxfId="95" priority="96" stopIfTrue="1">
      <formula>AND($I160="する", $O160="")</formula>
    </cfRule>
  </conditionalFormatting>
  <conditionalFormatting sqref="P160">
    <cfRule type="expression" dxfId="94" priority="95" stopIfTrue="1">
      <formula>AND($I160="する", $P160="")</formula>
    </cfRule>
  </conditionalFormatting>
  <conditionalFormatting sqref="Q160">
    <cfRule type="expression" dxfId="93" priority="94" stopIfTrue="1">
      <formula>AND($I160="する", $Q160="")</formula>
    </cfRule>
  </conditionalFormatting>
  <conditionalFormatting sqref="R160">
    <cfRule type="expression" dxfId="92" priority="93" stopIfTrue="1">
      <formula>AND($I160="する", $R160="")</formula>
    </cfRule>
  </conditionalFormatting>
  <conditionalFormatting sqref="S160">
    <cfRule type="expression" dxfId="91" priority="92" stopIfTrue="1">
      <formula>AND($I160="する", $S160="")</formula>
    </cfRule>
  </conditionalFormatting>
  <conditionalFormatting sqref="T160:V160">
    <cfRule type="expression" dxfId="90" priority="91" stopIfTrue="1">
      <formula>AND($I160="する", $T160="")</formula>
    </cfRule>
  </conditionalFormatting>
  <conditionalFormatting sqref="K161:L161">
    <cfRule type="expression" dxfId="89" priority="90" stopIfTrue="1">
      <formula>AND($I161="する", AND($K161&lt;&gt;"一般", $K161&lt;&gt;"特定", $K161&lt;&gt;"両方"))</formula>
    </cfRule>
  </conditionalFormatting>
  <conditionalFormatting sqref="M161:N161">
    <cfRule type="expression" dxfId="88" priority="89" stopIfTrue="1">
      <formula>AND($I161="する", $M161="")</formula>
    </cfRule>
  </conditionalFormatting>
  <conditionalFormatting sqref="O161">
    <cfRule type="expression" dxfId="87" priority="88" stopIfTrue="1">
      <formula>AND($I161="する", $O161="")</formula>
    </cfRule>
  </conditionalFormatting>
  <conditionalFormatting sqref="P161">
    <cfRule type="expression" dxfId="86" priority="87" stopIfTrue="1">
      <formula>AND($I161="する", $P161="")</formula>
    </cfRule>
  </conditionalFormatting>
  <conditionalFormatting sqref="Q161">
    <cfRule type="expression" dxfId="85" priority="86" stopIfTrue="1">
      <formula>AND($I161="する", $Q161="")</formula>
    </cfRule>
  </conditionalFormatting>
  <conditionalFormatting sqref="R161">
    <cfRule type="expression" dxfId="84" priority="85" stopIfTrue="1">
      <formula>AND($I161="する", $R161="")</formula>
    </cfRule>
  </conditionalFormatting>
  <conditionalFormatting sqref="S161">
    <cfRule type="expression" dxfId="83" priority="84" stopIfTrue="1">
      <formula>AND($I161="する", $S161="")</formula>
    </cfRule>
  </conditionalFormatting>
  <conditionalFormatting sqref="T161:V161">
    <cfRule type="expression" dxfId="82" priority="83" stopIfTrue="1">
      <formula>AND($I161="する", $T161="")</formula>
    </cfRule>
  </conditionalFormatting>
  <conditionalFormatting sqref="K162:L162">
    <cfRule type="expression" dxfId="81" priority="82" stopIfTrue="1">
      <formula>AND($I162="する", AND($K162&lt;&gt;"一般", $K162&lt;&gt;"特定", $K162&lt;&gt;"両方"))</formula>
    </cfRule>
  </conditionalFormatting>
  <conditionalFormatting sqref="M162:N162">
    <cfRule type="expression" dxfId="80" priority="81" stopIfTrue="1">
      <formula>AND($I162="する", $M162="")</formula>
    </cfRule>
  </conditionalFormatting>
  <conditionalFormatting sqref="O162">
    <cfRule type="expression" dxfId="79" priority="80" stopIfTrue="1">
      <formula>AND($I162="する", $O162="")</formula>
    </cfRule>
  </conditionalFormatting>
  <conditionalFormatting sqref="P162">
    <cfRule type="expression" dxfId="78" priority="79" stopIfTrue="1">
      <formula>AND($I162="する", $P162="")</formula>
    </cfRule>
  </conditionalFormatting>
  <conditionalFormatting sqref="Q162">
    <cfRule type="expression" dxfId="77" priority="78" stopIfTrue="1">
      <formula>AND($I162="する", $Q162="")</formula>
    </cfRule>
  </conditionalFormatting>
  <conditionalFormatting sqref="R162">
    <cfRule type="expression" dxfId="76" priority="77" stopIfTrue="1">
      <formula>AND($I162="する", $R162="")</formula>
    </cfRule>
  </conditionalFormatting>
  <conditionalFormatting sqref="S162">
    <cfRule type="expression" dxfId="75" priority="76" stopIfTrue="1">
      <formula>AND($I162="する", $S162="")</formula>
    </cfRule>
  </conditionalFormatting>
  <conditionalFormatting sqref="T162:V162">
    <cfRule type="expression" dxfId="74" priority="75" stopIfTrue="1">
      <formula>AND($I162="する", $T162&lt;=0)</formula>
    </cfRule>
  </conditionalFormatting>
  <conditionalFormatting sqref="K163:L163">
    <cfRule type="expression" dxfId="73" priority="74" stopIfTrue="1">
      <formula>AND($I163="する", AND($K163&lt;&gt;"一般", $K163&lt;&gt;"特定", $K163&lt;&gt;"両方"))</formula>
    </cfRule>
  </conditionalFormatting>
  <conditionalFormatting sqref="M163:N163">
    <cfRule type="expression" dxfId="72" priority="73" stopIfTrue="1">
      <formula>AND($I163="する", $M163="")</formula>
    </cfRule>
  </conditionalFormatting>
  <conditionalFormatting sqref="O163">
    <cfRule type="expression" dxfId="71" priority="72" stopIfTrue="1">
      <formula>AND($I163="する", $O163="")</formula>
    </cfRule>
  </conditionalFormatting>
  <conditionalFormatting sqref="P163">
    <cfRule type="expression" dxfId="70" priority="71" stopIfTrue="1">
      <formula>AND($I163="する", $P163="")</formula>
    </cfRule>
  </conditionalFormatting>
  <conditionalFormatting sqref="Q163">
    <cfRule type="expression" dxfId="69" priority="70" stopIfTrue="1">
      <formula>AND($I163="する", $Q163="")</formula>
    </cfRule>
  </conditionalFormatting>
  <conditionalFormatting sqref="R163">
    <cfRule type="expression" dxfId="68" priority="69" stopIfTrue="1">
      <formula>AND($I163="する", $R163="")</formula>
    </cfRule>
  </conditionalFormatting>
  <conditionalFormatting sqref="S163">
    <cfRule type="expression" dxfId="67" priority="68" stopIfTrue="1">
      <formula>AND($I163="する", $S163="")</formula>
    </cfRule>
  </conditionalFormatting>
  <conditionalFormatting sqref="T163:V163">
    <cfRule type="expression" dxfId="66" priority="67" stopIfTrue="1">
      <formula>AND($I163="する", $T163="")</formula>
    </cfRule>
  </conditionalFormatting>
  <conditionalFormatting sqref="K164:L164">
    <cfRule type="expression" dxfId="65" priority="66" stopIfTrue="1">
      <formula>AND($I164="する", AND($K164&lt;&gt;"一般", $K164&lt;&gt;"特定", $K164&lt;&gt;"両方"))</formula>
    </cfRule>
  </conditionalFormatting>
  <conditionalFormatting sqref="M164:N164">
    <cfRule type="expression" dxfId="64" priority="65" stopIfTrue="1">
      <formula>AND($I164="する", $M164="")</formula>
    </cfRule>
  </conditionalFormatting>
  <conditionalFormatting sqref="O164">
    <cfRule type="expression" dxfId="63" priority="64" stopIfTrue="1">
      <formula>AND($I164="する", $O164="")</formula>
    </cfRule>
  </conditionalFormatting>
  <conditionalFormatting sqref="P164">
    <cfRule type="expression" dxfId="62" priority="63" stopIfTrue="1">
      <formula>AND($I164="する", $P164="")</formula>
    </cfRule>
  </conditionalFormatting>
  <conditionalFormatting sqref="Q164">
    <cfRule type="expression" dxfId="61" priority="62" stopIfTrue="1">
      <formula>AND($I164="する", $Q164="")</formula>
    </cfRule>
  </conditionalFormatting>
  <conditionalFormatting sqref="R164">
    <cfRule type="expression" dxfId="60" priority="61" stopIfTrue="1">
      <formula>AND($I164="する", $R164="")</formula>
    </cfRule>
  </conditionalFormatting>
  <conditionalFormatting sqref="S164">
    <cfRule type="expression" dxfId="59" priority="60" stopIfTrue="1">
      <formula>AND($I164="する", $S164="")</formula>
    </cfRule>
  </conditionalFormatting>
  <conditionalFormatting sqref="T164:V164">
    <cfRule type="expression" dxfId="58" priority="59" stopIfTrue="1">
      <formula>AND($I164="する", $T164&lt;=0)</formula>
    </cfRule>
  </conditionalFormatting>
  <conditionalFormatting sqref="K165:L165">
    <cfRule type="expression" dxfId="57" priority="58" stopIfTrue="1">
      <formula>AND($I165="する", AND($K165&lt;&gt;"一般", $K165&lt;&gt;"特定", $K165&lt;&gt;"両方"))</formula>
    </cfRule>
  </conditionalFormatting>
  <conditionalFormatting sqref="M165:N165">
    <cfRule type="expression" dxfId="56" priority="57" stopIfTrue="1">
      <formula>AND($I165="する", $M165="")</formula>
    </cfRule>
  </conditionalFormatting>
  <conditionalFormatting sqref="O165">
    <cfRule type="expression" dxfId="55" priority="56" stopIfTrue="1">
      <formula>AND($I165="する", $O165="")</formula>
    </cfRule>
  </conditionalFormatting>
  <conditionalFormatting sqref="P165">
    <cfRule type="expression" dxfId="54" priority="55" stopIfTrue="1">
      <formula>AND($I165="する", $P165="")</formula>
    </cfRule>
  </conditionalFormatting>
  <conditionalFormatting sqref="Q165">
    <cfRule type="expression" dxfId="53" priority="54" stopIfTrue="1">
      <formula>AND($I165="する", $Q165="")</formula>
    </cfRule>
  </conditionalFormatting>
  <conditionalFormatting sqref="R165">
    <cfRule type="expression" dxfId="52" priority="53" stopIfTrue="1">
      <formula>AND($I165="する", $R165="")</formula>
    </cfRule>
  </conditionalFormatting>
  <conditionalFormatting sqref="S165">
    <cfRule type="expression" dxfId="51" priority="52" stopIfTrue="1">
      <formula>AND($I165="する", $S165="")</formula>
    </cfRule>
  </conditionalFormatting>
  <conditionalFormatting sqref="T165:V165">
    <cfRule type="expression" dxfId="50" priority="51" stopIfTrue="1">
      <formula>AND($I165="する", $T165&lt;=0)</formula>
    </cfRule>
  </conditionalFormatting>
  <conditionalFormatting sqref="K166:L166">
    <cfRule type="expression" dxfId="49" priority="50" stopIfTrue="1">
      <formula>AND($I166="する", AND($K166&lt;&gt;"一般", $K166&lt;&gt;"特定", $K166&lt;&gt;"両方"))</formula>
    </cfRule>
  </conditionalFormatting>
  <conditionalFormatting sqref="M166:N166">
    <cfRule type="expression" dxfId="48" priority="49" stopIfTrue="1">
      <formula>AND($I166="する", $M166="")</formula>
    </cfRule>
  </conditionalFormatting>
  <conditionalFormatting sqref="O166">
    <cfRule type="expression" dxfId="47" priority="48" stopIfTrue="1">
      <formula>AND($I166="する", $O166="")</formula>
    </cfRule>
  </conditionalFormatting>
  <conditionalFormatting sqref="P166">
    <cfRule type="expression" dxfId="46" priority="47" stopIfTrue="1">
      <formula>AND($I166="する", $P166="")</formula>
    </cfRule>
  </conditionalFormatting>
  <conditionalFormatting sqref="Q166">
    <cfRule type="expression" dxfId="45" priority="46" stopIfTrue="1">
      <formula>AND($I166="する", $Q166="")</formula>
    </cfRule>
  </conditionalFormatting>
  <conditionalFormatting sqref="R166">
    <cfRule type="expression" dxfId="44" priority="45" stopIfTrue="1">
      <formula>AND($I166="する", $R166="")</formula>
    </cfRule>
  </conditionalFormatting>
  <conditionalFormatting sqref="S166">
    <cfRule type="expression" dxfId="43" priority="44" stopIfTrue="1">
      <formula>AND($I166="する", $S166="")</formula>
    </cfRule>
  </conditionalFormatting>
  <conditionalFormatting sqref="T166:V166">
    <cfRule type="expression" dxfId="42" priority="43" stopIfTrue="1">
      <formula>AND($I166="する", $T166="")</formula>
    </cfRule>
  </conditionalFormatting>
  <conditionalFormatting sqref="K167:L167">
    <cfRule type="expression" dxfId="41" priority="42" stopIfTrue="1">
      <formula>AND($I167="する", AND($K167&lt;&gt;"一般", $K167&lt;&gt;"特定", $K167&lt;&gt;"両方"))</formula>
    </cfRule>
  </conditionalFormatting>
  <conditionalFormatting sqref="M167:N167">
    <cfRule type="expression" dxfId="40" priority="41" stopIfTrue="1">
      <formula>AND($I167="する", $M167="")</formula>
    </cfRule>
  </conditionalFormatting>
  <conditionalFormatting sqref="O167">
    <cfRule type="expression" dxfId="39" priority="40" stopIfTrue="1">
      <formula>AND($I167="する", $O167="")</formula>
    </cfRule>
  </conditionalFormatting>
  <conditionalFormatting sqref="P167">
    <cfRule type="expression" dxfId="38" priority="39" stopIfTrue="1">
      <formula>AND($I167="する", $P167="")</formula>
    </cfRule>
  </conditionalFormatting>
  <conditionalFormatting sqref="Q167">
    <cfRule type="expression" dxfId="37" priority="38" stopIfTrue="1">
      <formula>AND($I167="する", $Q167="")</formula>
    </cfRule>
  </conditionalFormatting>
  <conditionalFormatting sqref="R167">
    <cfRule type="expression" dxfId="36" priority="37" stopIfTrue="1">
      <formula>AND($I167="する", $R167="")</formula>
    </cfRule>
  </conditionalFormatting>
  <conditionalFormatting sqref="S167">
    <cfRule type="expression" dxfId="35" priority="36" stopIfTrue="1">
      <formula>AND($I167="する", $S167="")</formula>
    </cfRule>
  </conditionalFormatting>
  <conditionalFormatting sqref="T167:V167">
    <cfRule type="expression" dxfId="34" priority="35" stopIfTrue="1">
      <formula>AND($I167="する", $T167&lt;=0)</formula>
    </cfRule>
  </conditionalFormatting>
  <conditionalFormatting sqref="K168:L168">
    <cfRule type="expression" dxfId="33" priority="34" stopIfTrue="1">
      <formula>AND($I168="する", AND($K168&lt;&gt;"一般", $K168&lt;&gt;"特定", $K168&lt;&gt;"両方"))</formula>
    </cfRule>
  </conditionalFormatting>
  <conditionalFormatting sqref="M168:N168">
    <cfRule type="expression" dxfId="32" priority="33" stopIfTrue="1">
      <formula>AND($I168="する", $M168="")</formula>
    </cfRule>
  </conditionalFormatting>
  <conditionalFormatting sqref="O168">
    <cfRule type="expression" dxfId="31" priority="32" stopIfTrue="1">
      <formula>AND($I168="する", $O168="")</formula>
    </cfRule>
  </conditionalFormatting>
  <conditionalFormatting sqref="P168">
    <cfRule type="expression" dxfId="30" priority="31" stopIfTrue="1">
      <formula>AND($I168="する", $P168="")</formula>
    </cfRule>
  </conditionalFormatting>
  <conditionalFormatting sqref="Q168">
    <cfRule type="expression" dxfId="29" priority="30" stopIfTrue="1">
      <formula>AND($I168="する", $Q168="")</formula>
    </cfRule>
  </conditionalFormatting>
  <conditionalFormatting sqref="R168">
    <cfRule type="expression" dxfId="28" priority="29" stopIfTrue="1">
      <formula>AND($I168="する", $R168="")</formula>
    </cfRule>
  </conditionalFormatting>
  <conditionalFormatting sqref="S168">
    <cfRule type="expression" dxfId="27" priority="28" stopIfTrue="1">
      <formula>AND($I168="する", $S168="")</formula>
    </cfRule>
  </conditionalFormatting>
  <conditionalFormatting sqref="T168:V168">
    <cfRule type="expression" dxfId="26" priority="27" stopIfTrue="1">
      <formula>AND($I168="する", $T168&lt;5000)</formula>
    </cfRule>
  </conditionalFormatting>
  <conditionalFormatting sqref="K169:L169">
    <cfRule type="expression" dxfId="25" priority="26" stopIfTrue="1">
      <formula>AND($I169="する", AND($K169&lt;&gt;"一般", $K169&lt;&gt;"特定", $K169&lt;&gt;"両方"))</formula>
    </cfRule>
  </conditionalFormatting>
  <conditionalFormatting sqref="M169:N169">
    <cfRule type="expression" dxfId="24" priority="25" stopIfTrue="1">
      <formula>AND($I169="する", $M169="")</formula>
    </cfRule>
  </conditionalFormatting>
  <conditionalFormatting sqref="O169">
    <cfRule type="expression" dxfId="23" priority="24" stopIfTrue="1">
      <formula>AND($I169="する", $O169="")</formula>
    </cfRule>
  </conditionalFormatting>
  <conditionalFormatting sqref="P169">
    <cfRule type="expression" dxfId="22" priority="23" stopIfTrue="1">
      <formula>AND($I169="する", $P169="")</formula>
    </cfRule>
  </conditionalFormatting>
  <conditionalFormatting sqref="Q169">
    <cfRule type="expression" dxfId="21" priority="22" stopIfTrue="1">
      <formula>AND($I169="する", $Q169="")</formula>
    </cfRule>
  </conditionalFormatting>
  <conditionalFormatting sqref="R169">
    <cfRule type="expression" dxfId="20" priority="21" stopIfTrue="1">
      <formula>AND($I169="する", $R169="")</formula>
    </cfRule>
  </conditionalFormatting>
  <conditionalFormatting sqref="S169">
    <cfRule type="expression" dxfId="19" priority="20" stopIfTrue="1">
      <formula>AND($I169="する", $S169="")</formula>
    </cfRule>
  </conditionalFormatting>
  <conditionalFormatting sqref="T169:V169">
    <cfRule type="expression" dxfId="18" priority="19" stopIfTrue="1">
      <formula>AND($I169="する", $T169="")</formula>
    </cfRule>
  </conditionalFormatting>
  <conditionalFormatting sqref="K170:L170">
    <cfRule type="expression" dxfId="17" priority="18" stopIfTrue="1">
      <formula>AND($I170="する", AND($K170&lt;&gt;"一般", $K170&lt;&gt;"特定", $K170&lt;&gt;"両方"))</formula>
    </cfRule>
  </conditionalFormatting>
  <conditionalFormatting sqref="M170:N170">
    <cfRule type="expression" dxfId="16" priority="17" stopIfTrue="1">
      <formula>AND($I170="する", $M170="")</formula>
    </cfRule>
  </conditionalFormatting>
  <conditionalFormatting sqref="O170">
    <cfRule type="expression" dxfId="15" priority="16" stopIfTrue="1">
      <formula>AND($I170="する", $O170="")</formula>
    </cfRule>
  </conditionalFormatting>
  <conditionalFormatting sqref="P170">
    <cfRule type="expression" dxfId="14" priority="15" stopIfTrue="1">
      <formula>AND($I170="する", $P170="")</formula>
    </cfRule>
  </conditionalFormatting>
  <conditionalFormatting sqref="Q170">
    <cfRule type="expression" dxfId="13" priority="14" stopIfTrue="1">
      <formula>AND($I170="する", $Q170="")</formula>
    </cfRule>
  </conditionalFormatting>
  <conditionalFormatting sqref="R170">
    <cfRule type="expression" dxfId="12" priority="13" stopIfTrue="1">
      <formula>AND($I170="する", $R170="")</formula>
    </cfRule>
  </conditionalFormatting>
  <conditionalFormatting sqref="S170">
    <cfRule type="expression" dxfId="11" priority="12" stopIfTrue="1">
      <formula>AND($I170="する", $S170="")</formula>
    </cfRule>
  </conditionalFormatting>
  <conditionalFormatting sqref="T170:V170">
    <cfRule type="expression" dxfId="10" priority="11" stopIfTrue="1">
      <formula>AND($I170="する", $T170="")</formula>
    </cfRule>
  </conditionalFormatting>
  <conditionalFormatting sqref="K171:L171">
    <cfRule type="expression" dxfId="9" priority="10" stopIfTrue="1">
      <formula>AND($I171="する", AND($K171&lt;&gt;"一般", $K171&lt;&gt;"特定", $K171&lt;&gt;"両方"))</formula>
    </cfRule>
  </conditionalFormatting>
  <conditionalFormatting sqref="M171:N171">
    <cfRule type="expression" dxfId="8" priority="9" stopIfTrue="1">
      <formula>AND($I171="する", $M171="")</formula>
    </cfRule>
  </conditionalFormatting>
  <conditionalFormatting sqref="O171">
    <cfRule type="expression" dxfId="7" priority="8" stopIfTrue="1">
      <formula>AND($I171="する", $O171="")</formula>
    </cfRule>
  </conditionalFormatting>
  <conditionalFormatting sqref="P171">
    <cfRule type="expression" dxfId="6" priority="7" stopIfTrue="1">
      <formula>AND($I171="する", $P171="")</formula>
    </cfRule>
  </conditionalFormatting>
  <conditionalFormatting sqref="Q171">
    <cfRule type="expression" dxfId="5" priority="6" stopIfTrue="1">
      <formula>AND($I171="する", $Q171="")</formula>
    </cfRule>
  </conditionalFormatting>
  <conditionalFormatting sqref="R171">
    <cfRule type="expression" dxfId="4" priority="5" stopIfTrue="1">
      <formula>AND($I171="する", $R171="")</formula>
    </cfRule>
  </conditionalFormatting>
  <conditionalFormatting sqref="S171">
    <cfRule type="expression" dxfId="3" priority="4" stopIfTrue="1">
      <formula>AND($I171="する", $S171="")</formula>
    </cfRule>
  </conditionalFormatting>
  <conditionalFormatting sqref="T171:V171">
    <cfRule type="expression" dxfId="2" priority="3" stopIfTrue="1">
      <formula>AND($I171="する", $T171&lt;=0)</formula>
    </cfRule>
  </conditionalFormatting>
  <conditionalFormatting sqref="I184:L184">
    <cfRule type="expression" dxfId="1" priority="2" stopIfTrue="1">
      <formula>AND($I155="する", OR($I184="", $I184&lt;0))</formula>
    </cfRule>
  </conditionalFormatting>
  <conditionalFormatting sqref="M184:N184">
    <cfRule type="expression" dxfId="0" priority="1" stopIfTrue="1">
      <formula>AND($I155="する", OR($M184="", $M184&lt;0))</formula>
    </cfRule>
  </conditionalFormatting>
  <dataValidations count="17">
    <dataValidation errorStyle="warning" imeMode="hiragana" allowBlank="1" showInputMessage="1" showErrorMessage="1" sqref="I98:W98 I78:W78 I26:W26 I30:W30 I32:W32 I36:W36 I72:W72 I82:W82 I94:W94 I113:W113 I76:W76 I117:W117"/>
    <dataValidation errorStyle="warning" imeMode="fullKatakana" allowBlank="1" showInputMessage="1" showErrorMessage="1" sqref="I34:W34 I74:W74 I80:W80 I96:W96 I28:W28 I115:W115"/>
    <dataValidation errorStyle="warning" imeMode="halfAlpha" allowBlank="1" showInputMessage="1" showErrorMessage="1" sqref="I100:M100 I102:M102 I104:W104 I119:M119 I38:M38 I40:M40 I84:M84 I86:M86 I121:M121 I46:M46"/>
    <dataValidation type="date" imeMode="halfAlpha" allowBlank="1" showInputMessage="1" showErrorMessage="1" error="有効な日付を入力してください" sqref="I10:M10 I48:M48 I56:M56 I54:M54 I52:M52 K129:N130">
      <formula1>92</formula1>
      <formula2>73415</formula2>
    </dataValidation>
    <dataValidation type="list" allowBlank="1" showInputMessage="1" showErrorMessage="1" error="リストから選択してください" sqref="I12:M12">
      <formula1>"個人,法人"</formula1>
    </dataValidation>
    <dataValidation type="list" allowBlank="1" showInputMessage="1" showErrorMessage="1" error="リストから選択してください" sqref="I14:M14 I16:M16">
      <formula1>"無,有"</formula1>
    </dataValidation>
    <dataValidation type="list" allowBlank="1" showInputMessage="1" showErrorMessage="1" error="リストから選択してください" sqref="I22:M22 I68:M68">
      <formula1>"市内,県内,県外"</formula1>
    </dataValidation>
    <dataValidation type="whole" imeMode="halfAlpha" allowBlank="1" showInputMessage="1" showErrorMessage="1" error="7桁の数字を入力してください" sqref="I24:M24 I111:M111 I70:M70">
      <formula1>0</formula1>
      <formula2>9999999</formula2>
    </dataValidation>
    <dataValidation type="whole" imeMode="halfAlpha" allowBlank="1" showInputMessage="1" showErrorMessage="1" error="有効な数字を入力してください" sqref="I42:M42 I184:N184 M140:S171">
      <formula1>-9999999999</formula1>
      <formula2>9999999999</formula2>
    </dataValidation>
    <dataValidation type="list" allowBlank="1" showInputMessage="1" showErrorMessage="1" error="リストから選択してください" sqref="I44:M44">
      <formula1>"未加入,加入済,適用除外"</formula1>
    </dataValidation>
    <dataValidation type="list" allowBlank="1" showInputMessage="1" showErrorMessage="1" error="リストから選択してください" sqref="I50:M50">
      <formula1>"なし,会社更生法,民事再生法"</formula1>
    </dataValidation>
    <dataValidation type="list" allowBlank="1" showInputMessage="1" showErrorMessage="1" error="リストから選択してください" sqref="I58:M58">
      <formula1>"請求中,受領済"</formula1>
    </dataValidation>
    <dataValidation type="whole" imeMode="halfAlpha" allowBlank="1" showInputMessage="1" showErrorMessage="1" error="有効な数字を入力してください。10兆円以上になる場合は、9,999,999,999と入力してください" sqref="I60:M60 T149:V171 T140:V147">
      <formula1>-9999999999</formula1>
      <formula2>9999999999</formula2>
    </dataValidation>
    <dataValidation type="list" allowBlank="1" showInputMessage="1" showErrorMessage="1" error="リストから選択してください" sqref="H129:J130">
      <formula1>"未取得,取得"</formula1>
    </dataValidation>
    <dataValidation type="list" allowBlank="1" showInputMessage="1" showErrorMessage="1" error="リストから選択してください" sqref="I140:J171">
      <formula1>"しない,する"</formula1>
    </dataValidation>
    <dataValidation type="list" allowBlank="1" showInputMessage="1" showErrorMessage="1" error="リストから選択してください" sqref="K140:L140 K154:L171 K147:L152 K142:L145">
      <formula1>"なし,一般,特定,両方"</formula1>
    </dataValidation>
    <dataValidation type="whole" imeMode="halfAlpha" allowBlank="1" showInputMessage="1" showErrorMessage="1" error="10兆円以上は入力できません。10兆円以上になる場合は、9,999,999,999と入力してください" sqref="T148:V148">
      <formula1>-9999999999</formula1>
      <formula2>9999999999</formula2>
    </dataValidation>
  </dataValidations>
  <pageMargins left="0.19685039370078741" right="0.19685039370078741" top="0.39370078740157483" bottom="0.19685039370078741" header="0.39370078740157483" footer="0.19685039370078741"/>
  <pageSetup paperSize="9" scale="79" fitToHeight="0" orientation="portrait" r:id="rId1"/>
  <headerFooter>
    <oddHeader>&amp;R&amp;8&amp;P/&amp;N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T106"/>
  <sheetViews>
    <sheetView showGridLines="0" tabSelected="1" zoomScaleNormal="100" workbookViewId="0"/>
  </sheetViews>
  <sheetFormatPr defaultRowHeight="13.5"/>
  <cols>
    <col min="1" max="24" width="1.625" style="97" customWidth="1"/>
    <col min="25" max="55" width="1.625" style="96" customWidth="1"/>
  </cols>
  <sheetData>
    <row r="1" spans="1:55" s="70" customFormat="1" ht="11.25" customHeight="1">
      <c r="A1" s="67"/>
      <c r="B1" s="406" t="str">
        <f>"" &amp; 本社名称</f>
        <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row>
    <row r="2" spans="1:55" s="70" customFormat="1" ht="20.100000000000001" customHeight="1">
      <c r="A2" s="68"/>
      <c r="B2" s="68"/>
      <c r="C2" s="68"/>
      <c r="D2" s="68"/>
      <c r="E2" s="68"/>
      <c r="F2" s="68"/>
      <c r="G2" s="68"/>
      <c r="H2" s="68"/>
      <c r="I2" s="68"/>
      <c r="J2" s="68"/>
      <c r="K2" s="68"/>
      <c r="L2" s="68"/>
      <c r="M2" s="68"/>
      <c r="N2" s="68"/>
      <c r="O2" s="68"/>
      <c r="P2" s="68"/>
      <c r="Q2" s="68"/>
      <c r="R2" s="68"/>
      <c r="S2" s="68"/>
      <c r="T2" s="68"/>
      <c r="U2" s="68"/>
      <c r="V2" s="68"/>
      <c r="W2" s="68"/>
      <c r="X2" s="68"/>
      <c r="Y2" s="69"/>
      <c r="Z2" s="69"/>
      <c r="AA2" s="69"/>
      <c r="AB2" s="69"/>
      <c r="AC2" s="69"/>
      <c r="AD2" s="69"/>
      <c r="AE2" s="69"/>
      <c r="AF2" s="69"/>
      <c r="AG2" s="69"/>
      <c r="AH2" s="69"/>
      <c r="AI2" s="69"/>
      <c r="AJ2" s="69"/>
      <c r="AK2" s="69"/>
      <c r="AL2" s="69"/>
      <c r="AM2" s="69"/>
      <c r="AN2" s="69"/>
      <c r="AO2" s="407" t="str">
        <f>IF(ISBLANK(申請年月日), "平成　　年　　月　　日", TEXT(申請年月日, "ggge年m月d日"))</f>
        <v>平成　　年　　月　　日</v>
      </c>
      <c r="AP2" s="407"/>
      <c r="AQ2" s="407"/>
      <c r="AR2" s="407"/>
      <c r="AS2" s="407"/>
      <c r="AT2" s="407"/>
      <c r="AU2" s="407"/>
      <c r="AV2" s="407"/>
      <c r="AW2" s="407"/>
      <c r="AX2" s="407"/>
      <c r="AY2" s="407"/>
      <c r="AZ2" s="407"/>
      <c r="BB2" s="69"/>
      <c r="BC2" s="69"/>
    </row>
    <row r="3" spans="1:55" s="70" customFormat="1" ht="24.95" customHeight="1">
      <c r="A3" s="68"/>
      <c r="B3" s="408" t="str">
        <f>"入札参加資格審査申請書　【" &amp; P業種 &amp; "】"</f>
        <v>入札参加資格審査申請書　【建設工事】</v>
      </c>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69"/>
      <c r="BC3" s="69"/>
    </row>
    <row r="4" spans="1:55" s="70" customFormat="1" ht="5.0999999999999996" customHeight="1">
      <c r="A4" s="68"/>
      <c r="B4" s="68"/>
      <c r="C4" s="68"/>
      <c r="D4" s="68"/>
      <c r="E4" s="68"/>
      <c r="F4" s="68"/>
      <c r="G4" s="68"/>
      <c r="H4" s="68"/>
      <c r="I4" s="68"/>
      <c r="J4" s="68"/>
      <c r="K4" s="68"/>
      <c r="L4" s="68"/>
      <c r="M4" s="68"/>
      <c r="N4" s="68"/>
      <c r="O4" s="68"/>
      <c r="P4" s="68"/>
      <c r="Q4" s="68"/>
      <c r="R4" s="68"/>
      <c r="S4" s="68"/>
      <c r="T4" s="68"/>
      <c r="U4" s="68"/>
      <c r="V4" s="68"/>
      <c r="W4" s="68"/>
      <c r="X4" s="68"/>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row>
    <row r="5" spans="1:55" s="70" customFormat="1" ht="50.1" customHeight="1">
      <c r="A5" s="68"/>
      <c r="B5" s="409" t="str">
        <f>"　" &amp; P対象年度 &amp; "において、" &amp; P市町村名 &amp; "で行われる" &amp; P業種 &amp; "に係る入札参加資格の審査を申請します。" &amp; CHAR(10) &amp; "　なお、この申請書及び添付書類の内容については、事実と相違しないことを誓約します。"</f>
        <v>　平成31・32年度において、さぬき市で行われる建設工事に係る入札参加資格の審査を申請します。
　なお、この申請書及び添付書類の内容については、事実と相違しないことを誓約します。</v>
      </c>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09"/>
      <c r="AS5" s="409"/>
      <c r="AT5" s="409"/>
      <c r="AU5" s="409"/>
      <c r="AV5" s="409"/>
      <c r="AW5" s="409"/>
      <c r="AX5" s="409"/>
      <c r="AY5" s="409"/>
      <c r="AZ5" s="409"/>
      <c r="BA5" s="409"/>
      <c r="BB5" s="69"/>
      <c r="BC5" s="69"/>
    </row>
    <row r="6" spans="1:55" s="70" customFormat="1" ht="5.0999999999999996" customHeight="1">
      <c r="A6" s="68"/>
      <c r="B6" s="68"/>
      <c r="C6" s="71"/>
      <c r="D6" s="71"/>
      <c r="E6" s="71"/>
      <c r="F6" s="71"/>
      <c r="G6" s="71"/>
      <c r="H6" s="71"/>
      <c r="I6" s="71"/>
      <c r="J6" s="71"/>
      <c r="K6" s="71"/>
      <c r="L6" s="71"/>
      <c r="M6" s="71"/>
      <c r="N6" s="71"/>
      <c r="O6" s="71"/>
      <c r="P6" s="71"/>
      <c r="Q6" s="71"/>
      <c r="R6" s="71"/>
      <c r="S6" s="71"/>
      <c r="T6" s="71"/>
      <c r="U6" s="71"/>
      <c r="V6" s="71"/>
      <c r="W6" s="71"/>
      <c r="X6" s="71"/>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69"/>
      <c r="BC6" s="69"/>
    </row>
    <row r="7" spans="1:55" s="70" customFormat="1" ht="20.100000000000001" customHeight="1">
      <c r="A7" s="68"/>
      <c r="B7" s="68"/>
      <c r="C7" s="71"/>
      <c r="D7" s="71"/>
      <c r="E7" s="71"/>
      <c r="F7" s="73" t="str">
        <f>P市町村名 &amp; "長　様"</f>
        <v>さぬき市長　様</v>
      </c>
      <c r="G7" s="71"/>
      <c r="H7" s="71"/>
      <c r="I7" s="71"/>
      <c r="J7" s="71"/>
      <c r="K7" s="71"/>
      <c r="L7" s="71"/>
      <c r="M7" s="71"/>
      <c r="N7" s="71"/>
      <c r="O7" s="71"/>
      <c r="P7" s="71"/>
      <c r="Q7" s="71"/>
      <c r="R7" s="71"/>
      <c r="S7" s="71"/>
      <c r="T7" s="71"/>
      <c r="U7" s="71"/>
      <c r="V7" s="71"/>
      <c r="W7" s="71"/>
      <c r="X7" s="71"/>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69"/>
      <c r="BC7" s="69"/>
    </row>
    <row r="8" spans="1:55" s="70" customFormat="1" ht="5.0999999999999996" customHeight="1">
      <c r="A8" s="68"/>
      <c r="B8" s="68"/>
      <c r="C8" s="71"/>
      <c r="D8" s="71"/>
      <c r="E8" s="71"/>
      <c r="F8" s="71"/>
      <c r="G8" s="71"/>
      <c r="H8" s="71"/>
      <c r="I8" s="71"/>
      <c r="J8" s="71"/>
      <c r="K8" s="71"/>
      <c r="L8" s="71"/>
      <c r="M8" s="71"/>
      <c r="N8" s="71"/>
      <c r="O8" s="71"/>
      <c r="P8" s="71"/>
      <c r="Q8" s="71"/>
      <c r="R8" s="71"/>
      <c r="S8" s="71"/>
      <c r="T8" s="71"/>
      <c r="U8" s="71"/>
      <c r="V8" s="71"/>
      <c r="W8" s="71"/>
      <c r="X8" s="71"/>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69"/>
      <c r="BC8" s="69"/>
    </row>
    <row r="9" spans="1:55" s="70" customFormat="1" ht="15" customHeight="1" thickBot="1">
      <c r="A9" s="68"/>
      <c r="B9" s="68"/>
      <c r="C9" s="71"/>
      <c r="D9" s="71"/>
      <c r="E9" s="71"/>
      <c r="F9" s="71"/>
      <c r="G9" s="71"/>
      <c r="H9" s="71"/>
      <c r="I9" s="71"/>
      <c r="J9" s="71"/>
      <c r="K9" s="71"/>
      <c r="L9" s="71"/>
      <c r="M9" s="71"/>
      <c r="N9" s="71"/>
      <c r="O9" s="71"/>
      <c r="P9" s="71"/>
      <c r="Q9" s="71"/>
      <c r="R9" s="71"/>
      <c r="S9" s="71"/>
      <c r="T9" s="71"/>
      <c r="U9" s="71"/>
      <c r="V9" s="71"/>
      <c r="W9" s="71"/>
      <c r="X9" s="71"/>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69"/>
      <c r="BC9" s="69"/>
    </row>
    <row r="10" spans="1:55" s="76" customFormat="1" ht="20.100000000000001" customHeight="1" thickTop="1" thickBot="1">
      <c r="A10" s="74"/>
      <c r="B10" s="74"/>
      <c r="C10" s="361" t="s">
        <v>131</v>
      </c>
      <c r="D10" s="362"/>
      <c r="E10" s="362"/>
      <c r="F10" s="362"/>
      <c r="G10" s="362"/>
      <c r="H10" s="362"/>
      <c r="I10" s="362"/>
      <c r="J10" s="362"/>
      <c r="K10" s="363"/>
      <c r="L10" s="75"/>
      <c r="BB10" s="77"/>
      <c r="BC10" s="77"/>
    </row>
    <row r="11" spans="1:55" s="76" customFormat="1" ht="9.9499999999999993" customHeight="1" thickTop="1">
      <c r="A11" s="74"/>
      <c r="B11" s="74"/>
      <c r="C11" s="78"/>
      <c r="D11" s="78"/>
      <c r="E11" s="78"/>
      <c r="F11" s="78"/>
      <c r="G11" s="78"/>
      <c r="H11" s="78"/>
      <c r="I11" s="78"/>
      <c r="J11" s="78"/>
      <c r="K11" s="78"/>
      <c r="L11" s="75"/>
      <c r="M11" s="410" t="str">
        <f xml:space="preserve"> "" &amp; 本社名称カナ</f>
        <v/>
      </c>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1"/>
      <c r="AZ11" s="411"/>
      <c r="BA11" s="411"/>
      <c r="BB11" s="77"/>
      <c r="BC11" s="77"/>
    </row>
    <row r="12" spans="1:55" s="76" customFormat="1" ht="12.95" customHeight="1">
      <c r="A12" s="74"/>
      <c r="B12" s="74"/>
      <c r="C12" s="358" t="s">
        <v>132</v>
      </c>
      <c r="D12" s="358"/>
      <c r="E12" s="358"/>
      <c r="F12" s="358"/>
      <c r="G12" s="358"/>
      <c r="H12" s="358"/>
      <c r="I12" s="358"/>
      <c r="J12" s="358"/>
      <c r="K12" s="358"/>
      <c r="L12" s="75"/>
      <c r="M12" s="405" t="str">
        <f xml:space="preserve"> "" &amp; 本社名称</f>
        <v/>
      </c>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77"/>
      <c r="BC12" s="77"/>
    </row>
    <row r="13" spans="1:55" s="76" customFormat="1" ht="3" customHeight="1">
      <c r="A13" s="74"/>
      <c r="B13" s="74"/>
      <c r="C13" s="79"/>
      <c r="D13" s="79"/>
      <c r="E13" s="79"/>
      <c r="F13" s="79"/>
      <c r="G13" s="79"/>
      <c r="H13" s="79"/>
      <c r="I13" s="79"/>
      <c r="J13" s="79"/>
      <c r="K13" s="79"/>
      <c r="L13" s="75"/>
      <c r="M13" s="80"/>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77"/>
      <c r="BC13" s="77"/>
    </row>
    <row r="14" spans="1:55" s="76" customFormat="1" ht="18" customHeight="1">
      <c r="A14" s="74"/>
      <c r="B14" s="74"/>
      <c r="C14" s="358" t="s">
        <v>133</v>
      </c>
      <c r="D14" s="358"/>
      <c r="E14" s="358"/>
      <c r="F14" s="358"/>
      <c r="G14" s="358"/>
      <c r="H14" s="358"/>
      <c r="I14" s="358"/>
      <c r="J14" s="358"/>
      <c r="K14" s="358"/>
      <c r="L14" s="75"/>
      <c r="M14" s="359" t="str">
        <f>"" &amp; 個人法人区分</f>
        <v/>
      </c>
      <c r="N14" s="359"/>
      <c r="O14" s="359"/>
      <c r="P14" s="359"/>
      <c r="Q14" s="359"/>
      <c r="R14" s="359"/>
      <c r="S14" s="359"/>
      <c r="T14" s="359"/>
      <c r="U14" s="359"/>
      <c r="V14" s="359"/>
      <c r="W14" s="359"/>
      <c r="X14" s="359"/>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77"/>
      <c r="BC14" s="77"/>
    </row>
    <row r="15" spans="1:55" s="76" customFormat="1" ht="3" customHeight="1">
      <c r="A15" s="74"/>
      <c r="B15" s="74"/>
      <c r="C15" s="79"/>
      <c r="D15" s="79"/>
      <c r="E15" s="79"/>
      <c r="F15" s="79"/>
      <c r="G15" s="79"/>
      <c r="H15" s="79"/>
      <c r="I15" s="79"/>
      <c r="J15" s="79"/>
      <c r="K15" s="79"/>
      <c r="L15" s="75"/>
      <c r="M15" s="80"/>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77"/>
      <c r="BC15" s="77"/>
    </row>
    <row r="16" spans="1:55" s="76" customFormat="1" ht="9.9499999999999993" customHeight="1">
      <c r="A16" s="74"/>
      <c r="B16" s="74"/>
      <c r="W16" s="75"/>
      <c r="X16" s="387" t="str">
        <f>"" &amp; 本社代表者氏名カナ</f>
        <v/>
      </c>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77"/>
      <c r="BC16" s="77"/>
    </row>
    <row r="17" spans="1:55" s="76" customFormat="1" ht="12.95" customHeight="1">
      <c r="A17" s="74"/>
      <c r="B17" s="74"/>
      <c r="C17" s="358" t="s">
        <v>134</v>
      </c>
      <c r="D17" s="358"/>
      <c r="E17" s="358"/>
      <c r="F17" s="358"/>
      <c r="G17" s="358"/>
      <c r="H17" s="358"/>
      <c r="I17" s="358"/>
      <c r="J17" s="358"/>
      <c r="K17" s="358"/>
      <c r="L17" s="75"/>
      <c r="M17" s="359" t="str">
        <f>"" &amp; 本社代表者職名</f>
        <v/>
      </c>
      <c r="N17" s="359"/>
      <c r="O17" s="359"/>
      <c r="P17" s="359"/>
      <c r="Q17" s="359"/>
      <c r="R17" s="359"/>
      <c r="S17" s="359"/>
      <c r="T17" s="359"/>
      <c r="U17" s="359"/>
      <c r="V17" s="359"/>
      <c r="W17" s="82"/>
      <c r="X17" s="359" t="str">
        <f>"" &amp; 本社代表者氏名</f>
        <v/>
      </c>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77"/>
      <c r="BC17" s="77"/>
    </row>
    <row r="18" spans="1:55" s="76" customFormat="1" ht="3" customHeight="1">
      <c r="A18" s="74"/>
      <c r="B18" s="74"/>
      <c r="C18" s="79"/>
      <c r="D18" s="79"/>
      <c r="E18" s="79"/>
      <c r="F18" s="79"/>
      <c r="G18" s="79"/>
      <c r="H18" s="79"/>
      <c r="I18" s="79"/>
      <c r="J18" s="79"/>
      <c r="K18" s="79"/>
      <c r="L18" s="75"/>
      <c r="M18" s="80"/>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77"/>
      <c r="BC18" s="77"/>
    </row>
    <row r="19" spans="1:55" s="76" customFormat="1" ht="18" customHeight="1">
      <c r="A19" s="74"/>
      <c r="B19" s="74"/>
      <c r="C19" s="358" t="s">
        <v>135</v>
      </c>
      <c r="D19" s="358"/>
      <c r="E19" s="358"/>
      <c r="F19" s="358"/>
      <c r="G19" s="358"/>
      <c r="H19" s="358"/>
      <c r="I19" s="358"/>
      <c r="J19" s="358"/>
      <c r="K19" s="358"/>
      <c r="L19" s="75"/>
      <c r="M19" s="359" t="s">
        <v>136</v>
      </c>
      <c r="N19" s="359"/>
      <c r="O19" s="359" t="str">
        <f xml:space="preserve"> IF(ISBLANK(本社郵便), "", TEXT(本社郵便, "000-0000"))</f>
        <v/>
      </c>
      <c r="P19" s="359"/>
      <c r="Q19" s="359"/>
      <c r="R19" s="359"/>
      <c r="S19" s="359"/>
      <c r="T19" s="359" t="str">
        <f xml:space="preserve"> "" &amp; 本社所在地</f>
        <v/>
      </c>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59"/>
      <c r="AV19" s="359"/>
      <c r="AW19" s="359"/>
      <c r="AX19" s="359"/>
      <c r="AY19" s="359"/>
      <c r="AZ19" s="359"/>
      <c r="BA19" s="359"/>
      <c r="BB19" s="77"/>
      <c r="BC19" s="77"/>
    </row>
    <row r="20" spans="1:55" s="76" customFormat="1" ht="3" customHeight="1">
      <c r="A20" s="74"/>
      <c r="B20" s="74"/>
      <c r="C20" s="79"/>
      <c r="D20" s="79"/>
      <c r="E20" s="79"/>
      <c r="F20" s="79"/>
      <c r="G20" s="79"/>
      <c r="H20" s="79"/>
      <c r="I20" s="79"/>
      <c r="J20" s="79"/>
      <c r="K20" s="79"/>
      <c r="L20" s="75"/>
      <c r="M20" s="80"/>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77"/>
      <c r="BC20" s="77"/>
    </row>
    <row r="21" spans="1:55" s="76" customFormat="1" ht="18" customHeight="1">
      <c r="A21" s="74"/>
      <c r="B21" s="74"/>
      <c r="C21" s="358" t="s">
        <v>137</v>
      </c>
      <c r="D21" s="358"/>
      <c r="E21" s="358"/>
      <c r="F21" s="358"/>
      <c r="G21" s="358"/>
      <c r="H21" s="358"/>
      <c r="I21" s="358"/>
      <c r="J21" s="358"/>
      <c r="K21" s="358"/>
      <c r="L21" s="75"/>
      <c r="M21" s="359" t="str">
        <f>"" &amp; 本社TEL</f>
        <v/>
      </c>
      <c r="N21" s="359"/>
      <c r="O21" s="359"/>
      <c r="P21" s="359"/>
      <c r="Q21" s="359"/>
      <c r="R21" s="359"/>
      <c r="S21" s="359"/>
      <c r="T21" s="359"/>
      <c r="U21" s="359"/>
      <c r="V21" s="359"/>
      <c r="W21" s="359"/>
      <c r="X21" s="359"/>
      <c r="Y21" s="83"/>
      <c r="Z21" s="360" t="s">
        <v>138</v>
      </c>
      <c r="AA21" s="360"/>
      <c r="AB21" s="360"/>
      <c r="AC21" s="360"/>
      <c r="AD21" s="360"/>
      <c r="AE21" s="360"/>
      <c r="AF21" s="360"/>
      <c r="AG21" s="360"/>
      <c r="AH21" s="83"/>
      <c r="AI21" s="359" t="str">
        <f>"" &amp; 本社FAX</f>
        <v/>
      </c>
      <c r="AJ21" s="359"/>
      <c r="AK21" s="359"/>
      <c r="AL21" s="359"/>
      <c r="AM21" s="359"/>
      <c r="AN21" s="359"/>
      <c r="AO21" s="359"/>
      <c r="AP21" s="359"/>
      <c r="AQ21" s="359"/>
      <c r="AR21" s="359"/>
      <c r="AS21" s="359"/>
      <c r="AT21" s="359"/>
    </row>
    <row r="22" spans="1:55" s="76" customFormat="1" ht="9.9499999999999993" customHeight="1">
      <c r="A22" s="74"/>
      <c r="B22" s="74"/>
      <c r="C22" s="79"/>
      <c r="D22" s="79"/>
      <c r="E22" s="79"/>
      <c r="F22" s="79"/>
      <c r="G22" s="79"/>
      <c r="H22" s="79"/>
      <c r="I22" s="79"/>
      <c r="J22" s="79"/>
      <c r="K22" s="79"/>
      <c r="L22" s="75"/>
      <c r="M22" s="75"/>
      <c r="N22" s="75"/>
      <c r="O22" s="75"/>
      <c r="P22" s="75"/>
      <c r="Q22" s="75"/>
      <c r="R22" s="75"/>
      <c r="S22" s="75"/>
      <c r="T22" s="75"/>
      <c r="U22" s="75"/>
      <c r="V22" s="75"/>
      <c r="W22" s="75"/>
      <c r="X22" s="75"/>
      <c r="Y22" s="83"/>
      <c r="Z22" s="83"/>
      <c r="AA22" s="84"/>
      <c r="AB22" s="84"/>
      <c r="AC22" s="84"/>
      <c r="AD22" s="84"/>
      <c r="AE22" s="84"/>
      <c r="AF22" s="84"/>
      <c r="AG22" s="84"/>
      <c r="AH22" s="84"/>
      <c r="AI22" s="83"/>
      <c r="AJ22" s="75"/>
      <c r="AK22" s="75"/>
      <c r="AL22" s="75"/>
      <c r="AM22" s="75"/>
      <c r="AN22" s="75"/>
      <c r="AO22" s="75"/>
      <c r="AP22" s="75"/>
      <c r="AQ22" s="75"/>
      <c r="AR22" s="75"/>
      <c r="AS22" s="75"/>
      <c r="AT22" s="75"/>
      <c r="AU22" s="75"/>
      <c r="AV22" s="83"/>
      <c r="AW22" s="83"/>
      <c r="AX22" s="83"/>
      <c r="AY22" s="83"/>
      <c r="AZ22" s="83"/>
      <c r="BA22" s="83"/>
      <c r="BB22" s="77"/>
      <c r="BC22" s="77"/>
    </row>
    <row r="23" spans="1:55" s="76" customFormat="1" ht="18" customHeight="1">
      <c r="A23" s="74"/>
      <c r="B23" s="74"/>
      <c r="C23" s="399" t="s">
        <v>139</v>
      </c>
      <c r="D23" s="399"/>
      <c r="E23" s="399"/>
      <c r="F23" s="399"/>
      <c r="G23" s="399"/>
      <c r="H23" s="399"/>
      <c r="I23" s="399"/>
      <c r="J23" s="399"/>
      <c r="K23" s="399"/>
      <c r="L23" s="75"/>
      <c r="M23" s="122"/>
      <c r="N23" s="122"/>
      <c r="O23" s="404">
        <f>営業年数</f>
        <v>0</v>
      </c>
      <c r="P23" s="404"/>
      <c r="Q23" s="404"/>
      <c r="R23" s="404"/>
      <c r="S23" s="404"/>
      <c r="T23" s="404"/>
      <c r="U23" s="404"/>
      <c r="V23" s="121"/>
      <c r="W23" s="398" t="s">
        <v>207</v>
      </c>
      <c r="X23" s="398"/>
      <c r="Y23" s="83"/>
      <c r="Z23" s="83"/>
    </row>
    <row r="24" spans="1:55" s="76" customFormat="1" ht="3" customHeight="1">
      <c r="A24" s="74"/>
      <c r="B24" s="74"/>
      <c r="C24" s="104"/>
      <c r="D24" s="104"/>
      <c r="E24" s="104"/>
      <c r="F24" s="104"/>
      <c r="G24" s="104"/>
      <c r="H24" s="104"/>
      <c r="I24" s="104"/>
      <c r="J24" s="104"/>
      <c r="K24" s="104"/>
      <c r="L24" s="75"/>
      <c r="M24" s="80"/>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77"/>
      <c r="BC24" s="77"/>
    </row>
    <row r="25" spans="1:55" s="76" customFormat="1" ht="18" customHeight="1">
      <c r="A25" s="74"/>
      <c r="B25" s="74"/>
      <c r="C25" s="399" t="s">
        <v>143</v>
      </c>
      <c r="D25" s="399"/>
      <c r="E25" s="399"/>
      <c r="F25" s="399"/>
      <c r="G25" s="399"/>
      <c r="H25" s="399"/>
      <c r="I25" s="399"/>
      <c r="J25" s="399"/>
      <c r="K25" s="399"/>
      <c r="L25" s="75"/>
      <c r="M25" s="402" t="str">
        <f ca="1">m許可知事 &amp; " " &amp; IF(許可番号="","",IF(LEN(許可番号)&lt;4, "", "第"&amp;SUBSTITUTE(RIGHT(許可番号,LEN(許可番号)-2),"-","")&amp;"号"))</f>
        <v xml:space="preserve"> </v>
      </c>
      <c r="N25" s="402"/>
      <c r="O25" s="402"/>
      <c r="P25" s="402"/>
      <c r="Q25" s="402"/>
      <c r="R25" s="402"/>
      <c r="S25" s="402"/>
      <c r="T25" s="402"/>
      <c r="U25" s="402"/>
      <c r="V25" s="402"/>
      <c r="W25" s="402"/>
      <c r="X25" s="402"/>
      <c r="Y25" s="81"/>
      <c r="Z25" s="358" t="s">
        <v>144</v>
      </c>
      <c r="AA25" s="358"/>
      <c r="AB25" s="358"/>
      <c r="AC25" s="358"/>
      <c r="AD25" s="358"/>
      <c r="AE25" s="358"/>
      <c r="AF25" s="358"/>
      <c r="AG25" s="358"/>
      <c r="AH25" s="75"/>
      <c r="AI25" s="398" t="str">
        <f>IF(許可年月日="","",TEXT(許可年月日,"ggge年 m月 d日"))</f>
        <v/>
      </c>
      <c r="AJ25" s="398"/>
      <c r="AK25" s="398"/>
      <c r="AL25" s="398"/>
      <c r="AM25" s="398"/>
      <c r="AN25" s="398"/>
      <c r="AO25" s="398"/>
      <c r="AP25" s="398"/>
      <c r="AQ25" s="398"/>
      <c r="AR25" s="398"/>
      <c r="AS25" s="398"/>
      <c r="AT25" s="398"/>
      <c r="BB25" s="77"/>
      <c r="BC25" s="77"/>
    </row>
    <row r="26" spans="1:55" s="76" customFormat="1" ht="3" customHeight="1">
      <c r="A26" s="74"/>
      <c r="B26" s="74"/>
      <c r="C26" s="104"/>
      <c r="D26" s="104"/>
      <c r="E26" s="104"/>
      <c r="F26" s="104"/>
      <c r="G26" s="104"/>
      <c r="H26" s="104"/>
      <c r="I26" s="104"/>
      <c r="J26" s="104"/>
      <c r="K26" s="104"/>
      <c r="L26" s="75"/>
      <c r="M26" s="80"/>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77"/>
      <c r="BC26" s="77"/>
    </row>
    <row r="27" spans="1:55" s="76" customFormat="1" ht="18" customHeight="1">
      <c r="A27" s="74"/>
      <c r="B27" s="74"/>
      <c r="C27" s="399" t="s">
        <v>140</v>
      </c>
      <c r="D27" s="399"/>
      <c r="E27" s="399"/>
      <c r="F27" s="399"/>
      <c r="G27" s="399"/>
      <c r="H27" s="399"/>
      <c r="I27" s="399"/>
      <c r="J27" s="399"/>
      <c r="K27" s="399"/>
      <c r="L27" s="75"/>
      <c r="M27" s="402" t="str">
        <f>"" &amp; 法的再建手続</f>
        <v/>
      </c>
      <c r="N27" s="402"/>
      <c r="O27" s="402"/>
      <c r="P27" s="402"/>
      <c r="Q27" s="402"/>
      <c r="R27" s="402"/>
      <c r="S27" s="402"/>
      <c r="T27" s="402"/>
      <c r="U27" s="402"/>
      <c r="V27" s="402"/>
      <c r="W27" s="402"/>
      <c r="X27" s="402"/>
      <c r="Z27" s="403" t="s">
        <v>141</v>
      </c>
      <c r="AA27" s="403"/>
      <c r="AB27" s="403"/>
      <c r="AC27" s="403"/>
      <c r="AD27" s="401" t="str">
        <f>IF(法的申立日="","",TEXT(法的申立日,"ggge年m月d日"))</f>
        <v/>
      </c>
      <c r="AE27" s="401"/>
      <c r="AF27" s="401"/>
      <c r="AG27" s="401"/>
      <c r="AH27" s="401"/>
      <c r="AI27" s="401"/>
      <c r="AJ27" s="401"/>
      <c r="AK27" s="401"/>
      <c r="AL27" s="400" t="s">
        <v>142</v>
      </c>
      <c r="AM27" s="400"/>
      <c r="AN27" s="400"/>
      <c r="AO27" s="400"/>
      <c r="AP27" s="400"/>
      <c r="AQ27" s="400"/>
      <c r="AR27" s="400"/>
      <c r="AS27" s="75"/>
      <c r="AT27" s="401" t="str">
        <f>IF(法的計画認可日="","",TEXT(法的計画認可日,"ggge年m月d日"))</f>
        <v/>
      </c>
      <c r="AU27" s="401"/>
      <c r="AV27" s="401"/>
      <c r="AW27" s="401"/>
      <c r="AX27" s="401"/>
      <c r="AY27" s="401"/>
      <c r="AZ27" s="401"/>
      <c r="BA27" s="401"/>
      <c r="BC27" s="77"/>
    </row>
    <row r="28" spans="1:55" s="76" customFormat="1" ht="3" customHeight="1">
      <c r="A28" s="74"/>
      <c r="B28" s="74"/>
      <c r="C28" s="104"/>
      <c r="D28" s="104"/>
      <c r="E28" s="104"/>
      <c r="F28" s="104"/>
      <c r="G28" s="104"/>
      <c r="H28" s="104"/>
      <c r="I28" s="104"/>
      <c r="J28" s="104"/>
      <c r="K28" s="104"/>
      <c r="L28" s="75"/>
      <c r="M28" s="80"/>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77"/>
      <c r="BC28" s="77"/>
    </row>
    <row r="29" spans="1:55" s="76" customFormat="1" ht="18" customHeight="1">
      <c r="A29" s="74"/>
      <c r="B29" s="74"/>
      <c r="C29" s="397" t="s">
        <v>145</v>
      </c>
      <c r="D29" s="397"/>
      <c r="E29" s="397"/>
      <c r="F29" s="397"/>
      <c r="G29" s="397"/>
      <c r="H29" s="397"/>
      <c r="I29" s="397"/>
      <c r="J29" s="397"/>
      <c r="K29" s="397"/>
      <c r="L29" s="75"/>
      <c r="M29" s="398" t="str">
        <f>"" &amp; 保険加入状況</f>
        <v/>
      </c>
      <c r="N29" s="398"/>
      <c r="O29" s="398"/>
      <c r="P29" s="398"/>
      <c r="Q29" s="398"/>
      <c r="R29" s="398"/>
      <c r="S29" s="398"/>
      <c r="T29" s="398"/>
      <c r="U29" s="398"/>
      <c r="V29" s="398"/>
      <c r="W29" s="398"/>
      <c r="X29" s="398"/>
      <c r="Y29" s="83"/>
      <c r="Z29" s="83"/>
      <c r="BB29" s="77"/>
      <c r="BC29" s="77"/>
    </row>
    <row r="30" spans="1:55" s="76" customFormat="1" ht="3" customHeight="1">
      <c r="A30" s="74"/>
      <c r="B30" s="74"/>
      <c r="C30" s="104"/>
      <c r="D30" s="104"/>
      <c r="E30" s="104"/>
      <c r="F30" s="104"/>
      <c r="G30" s="104"/>
      <c r="H30" s="104"/>
      <c r="I30" s="104"/>
      <c r="J30" s="104"/>
      <c r="K30" s="104"/>
      <c r="L30" s="75"/>
      <c r="M30" s="80"/>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77"/>
      <c r="BC30" s="77"/>
    </row>
    <row r="31" spans="1:55" s="76" customFormat="1" ht="18" customHeight="1">
      <c r="A31" s="74"/>
      <c r="B31" s="74"/>
      <c r="C31" s="399" t="s">
        <v>146</v>
      </c>
      <c r="D31" s="399"/>
      <c r="E31" s="399"/>
      <c r="F31" s="399"/>
      <c r="G31" s="399"/>
      <c r="H31" s="399"/>
      <c r="I31" s="399"/>
      <c r="J31" s="399"/>
      <c r="K31" s="399"/>
      <c r="L31" s="75"/>
      <c r="M31" s="398" t="str">
        <f>IF(経審審査基準日="","",TEXT(経審審査基準日,"ggge年 m月 d日"))</f>
        <v/>
      </c>
      <c r="N31" s="398"/>
      <c r="O31" s="398"/>
      <c r="P31" s="398"/>
      <c r="Q31" s="398"/>
      <c r="R31" s="398"/>
      <c r="S31" s="398"/>
      <c r="T31" s="398"/>
      <c r="U31" s="398"/>
      <c r="V31" s="398"/>
      <c r="W31" s="398"/>
      <c r="X31" s="398"/>
      <c r="Z31" s="358" t="s">
        <v>210</v>
      </c>
      <c r="AA31" s="358"/>
      <c r="AB31" s="358"/>
      <c r="AC31" s="358"/>
      <c r="AD31" s="358"/>
      <c r="AE31" s="358"/>
      <c r="AF31" s="358"/>
      <c r="AG31" s="358"/>
      <c r="AH31" s="358"/>
      <c r="AJ31" s="359" t="str">
        <f>"" &amp; 経審審査結果通知</f>
        <v/>
      </c>
      <c r="AK31" s="359"/>
      <c r="AL31" s="359"/>
      <c r="AM31" s="359"/>
      <c r="AN31" s="359"/>
      <c r="AO31" s="359"/>
      <c r="AP31" s="359"/>
      <c r="AQ31" s="359"/>
      <c r="AR31" s="359"/>
      <c r="AS31" s="359"/>
      <c r="AT31" s="359"/>
      <c r="AU31" s="359"/>
      <c r="BC31" s="77"/>
    </row>
    <row r="32" spans="1:55" s="76" customFormat="1" ht="9.9499999999999993" customHeight="1">
      <c r="A32" s="74"/>
      <c r="B32" s="74"/>
      <c r="C32" s="79"/>
      <c r="D32" s="79"/>
      <c r="E32" s="79"/>
      <c r="F32" s="79"/>
      <c r="G32" s="79"/>
      <c r="H32" s="79"/>
      <c r="I32" s="79"/>
      <c r="J32" s="79"/>
      <c r="K32" s="79"/>
      <c r="L32" s="75"/>
      <c r="M32" s="75"/>
      <c r="N32" s="75"/>
      <c r="O32" s="75"/>
      <c r="P32" s="75"/>
      <c r="Q32" s="75"/>
      <c r="R32" s="75"/>
      <c r="S32" s="75"/>
      <c r="T32" s="75"/>
      <c r="U32" s="75"/>
      <c r="V32" s="75"/>
      <c r="W32" s="75"/>
      <c r="X32" s="75"/>
      <c r="Y32" s="83"/>
      <c r="Z32" s="83"/>
      <c r="AA32" s="84"/>
      <c r="AB32" s="84"/>
      <c r="AC32" s="84"/>
      <c r="AD32" s="84"/>
      <c r="AE32" s="84"/>
      <c r="AF32" s="84"/>
      <c r="AP32" s="75"/>
      <c r="AQ32" s="75"/>
      <c r="AR32" s="75"/>
      <c r="AS32" s="75"/>
      <c r="AT32" s="75"/>
      <c r="AU32" s="75"/>
      <c r="AV32" s="83"/>
      <c r="AW32" s="83"/>
      <c r="AX32" s="83"/>
      <c r="AY32" s="83"/>
      <c r="AZ32" s="83"/>
      <c r="BA32" s="83"/>
      <c r="BB32" s="77"/>
      <c r="BC32" s="77"/>
    </row>
    <row r="33" spans="1:55" s="76" customFormat="1" ht="15" customHeight="1">
      <c r="A33" s="74"/>
      <c r="B33" s="74"/>
      <c r="C33" s="393" t="s">
        <v>147</v>
      </c>
      <c r="D33" s="393"/>
      <c r="E33" s="393"/>
      <c r="F33" s="393"/>
      <c r="G33" s="393"/>
      <c r="H33" s="393"/>
      <c r="I33" s="393"/>
      <c r="J33" s="393"/>
      <c r="K33" s="393"/>
      <c r="L33" s="393"/>
      <c r="M33" s="393"/>
      <c r="N33" s="393"/>
      <c r="O33" s="393"/>
      <c r="P33" s="393"/>
      <c r="Q33" s="393"/>
      <c r="R33" s="393"/>
      <c r="S33" s="393"/>
      <c r="T33" s="393"/>
      <c r="U33" s="393"/>
      <c r="V33" s="393"/>
      <c r="W33" s="85"/>
      <c r="X33" s="85"/>
      <c r="Y33" s="85"/>
      <c r="Z33"/>
      <c r="AA33"/>
      <c r="AB33"/>
      <c r="AC33"/>
      <c r="AD33"/>
      <c r="AE33"/>
      <c r="AF33"/>
      <c r="AG33"/>
      <c r="AH33"/>
      <c r="AI33"/>
      <c r="AJ33" s="75"/>
      <c r="AK33" s="75"/>
      <c r="AL33" s="75"/>
      <c r="AM33" s="75"/>
      <c r="AN33" s="75"/>
      <c r="AO33" s="75"/>
      <c r="AP33" s="75"/>
      <c r="AQ33" s="75"/>
      <c r="AR33" s="75"/>
      <c r="AS33" s="75"/>
      <c r="AT33" s="75"/>
      <c r="BC33" s="77"/>
    </row>
    <row r="34" spans="1:55" s="76" customFormat="1" ht="18" customHeight="1">
      <c r="A34" s="74"/>
      <c r="B34" s="74"/>
      <c r="D34" s="394" t="s">
        <v>121</v>
      </c>
      <c r="E34" s="394"/>
      <c r="F34" s="394"/>
      <c r="G34" s="394"/>
      <c r="H34" s="394"/>
      <c r="I34" s="394"/>
      <c r="J34" s="394"/>
      <c r="K34" s="394"/>
      <c r="L34" s="394"/>
      <c r="M34" s="394"/>
      <c r="N34" s="394"/>
      <c r="O34" s="394" t="s">
        <v>122</v>
      </c>
      <c r="P34" s="394"/>
      <c r="Q34" s="394"/>
      <c r="R34" s="394"/>
      <c r="S34" s="394"/>
      <c r="T34" s="394"/>
      <c r="U34" s="394"/>
      <c r="V34" s="394"/>
      <c r="W34" s="394"/>
      <c r="X34" s="394"/>
      <c r="Y34" s="394"/>
      <c r="Z34" s="394" t="s">
        <v>148</v>
      </c>
      <c r="AA34" s="394"/>
      <c r="AB34" s="394"/>
      <c r="AC34" s="394"/>
      <c r="AD34" s="394"/>
      <c r="AE34" s="394"/>
      <c r="AF34" s="394"/>
      <c r="AG34" s="394"/>
      <c r="AH34" s="394"/>
      <c r="AI34" s="394"/>
      <c r="AJ34" s="394"/>
    </row>
    <row r="35" spans="1:55" s="76" customFormat="1" ht="18" customHeight="1">
      <c r="A35" s="74"/>
      <c r="B35" s="74"/>
      <c r="D35" s="395" t="s">
        <v>215</v>
      </c>
      <c r="E35" s="395"/>
      <c r="F35" s="395"/>
      <c r="G35" s="395"/>
      <c r="H35" s="395"/>
      <c r="I35" s="395"/>
      <c r="J35" s="395"/>
      <c r="K35" s="395"/>
      <c r="L35" s="395"/>
      <c r="M35" s="395"/>
      <c r="N35" s="395"/>
      <c r="O35" s="395" t="str">
        <f>"" &amp; ISO1認定_有無</f>
        <v/>
      </c>
      <c r="P35" s="395" t="str">
        <f t="shared" ref="P35:Y36" si="0">IF(ISBLANK(ISO1認定_起算日), "", DBCS(TEXT(ISO1認定_起算日, "ggge年m月d日")))</f>
        <v/>
      </c>
      <c r="Q35" s="395" t="str">
        <f t="shared" si="0"/>
        <v/>
      </c>
      <c r="R35" s="395" t="str">
        <f t="shared" si="0"/>
        <v/>
      </c>
      <c r="S35" s="395" t="str">
        <f t="shared" si="0"/>
        <v/>
      </c>
      <c r="T35" s="395" t="str">
        <f t="shared" si="0"/>
        <v/>
      </c>
      <c r="U35" s="395" t="str">
        <f t="shared" si="0"/>
        <v/>
      </c>
      <c r="V35" s="395" t="str">
        <f t="shared" si="0"/>
        <v/>
      </c>
      <c r="W35" s="395" t="str">
        <f t="shared" si="0"/>
        <v/>
      </c>
      <c r="X35" s="395" t="str">
        <f t="shared" si="0"/>
        <v/>
      </c>
      <c r="Y35" s="395" t="str">
        <f t="shared" si="0"/>
        <v/>
      </c>
      <c r="Z35" s="395" t="str">
        <f>IF(ISBLANK(ISO1認定_起算日), "", TEXT(ISO1認定_起算日, "ggge年m月d日"))</f>
        <v/>
      </c>
      <c r="AA35" s="395" t="str">
        <f t="shared" ref="AA35:AJ35" si="1">IF(ISBLANK(ISO1認定_起算日), "", DBCS(TEXT(ISO1認定_起算日, "ggge年m月d日")))</f>
        <v/>
      </c>
      <c r="AB35" s="395" t="str">
        <f t="shared" si="1"/>
        <v/>
      </c>
      <c r="AC35" s="395" t="str">
        <f t="shared" si="1"/>
        <v/>
      </c>
      <c r="AD35" s="395" t="str">
        <f t="shared" si="1"/>
        <v/>
      </c>
      <c r="AE35" s="395" t="str">
        <f t="shared" si="1"/>
        <v/>
      </c>
      <c r="AF35" s="395" t="str">
        <f t="shared" si="1"/>
        <v/>
      </c>
      <c r="AG35" s="395" t="str">
        <f t="shared" si="1"/>
        <v/>
      </c>
      <c r="AH35" s="395" t="str">
        <f t="shared" si="1"/>
        <v/>
      </c>
      <c r="AI35" s="395" t="str">
        <f t="shared" si="1"/>
        <v/>
      </c>
      <c r="AJ35" s="395" t="str">
        <f t="shared" si="1"/>
        <v/>
      </c>
    </row>
    <row r="36" spans="1:55" s="76" customFormat="1" ht="18" customHeight="1">
      <c r="A36" s="74"/>
      <c r="B36" s="74"/>
      <c r="D36" s="395" t="s">
        <v>216</v>
      </c>
      <c r="E36" s="395"/>
      <c r="F36" s="395"/>
      <c r="G36" s="395"/>
      <c r="H36" s="395"/>
      <c r="I36" s="395"/>
      <c r="J36" s="395"/>
      <c r="K36" s="395"/>
      <c r="L36" s="395"/>
      <c r="M36" s="395"/>
      <c r="N36" s="395"/>
      <c r="O36" s="395" t="str">
        <f>"" &amp; ISO2認定_有無</f>
        <v/>
      </c>
      <c r="P36" s="395" t="str">
        <f t="shared" si="0"/>
        <v/>
      </c>
      <c r="Q36" s="395" t="str">
        <f t="shared" si="0"/>
        <v/>
      </c>
      <c r="R36" s="395" t="str">
        <f t="shared" si="0"/>
        <v/>
      </c>
      <c r="S36" s="395" t="str">
        <f t="shared" si="0"/>
        <v/>
      </c>
      <c r="T36" s="395" t="str">
        <f t="shared" si="0"/>
        <v/>
      </c>
      <c r="U36" s="395" t="str">
        <f t="shared" si="0"/>
        <v/>
      </c>
      <c r="V36" s="395" t="str">
        <f t="shared" si="0"/>
        <v/>
      </c>
      <c r="W36" s="395" t="str">
        <f t="shared" si="0"/>
        <v/>
      </c>
      <c r="X36" s="395" t="str">
        <f t="shared" si="0"/>
        <v/>
      </c>
      <c r="Y36" s="395" t="str">
        <f t="shared" si="0"/>
        <v/>
      </c>
      <c r="Z36" s="396" t="str">
        <f>IF(ISBLANK(ISO2認定_起算日), "", TEXT(ISO2認定_起算日, "ggge年m月d日"))</f>
        <v/>
      </c>
      <c r="AA36" s="396" t="e">
        <f t="shared" ref="AA36:AJ36" si="2">IF(ISBLANK(ISO3認定_起算日), "", DBCS(TEXT(ISO3認定_起算日, "ggge年m月d日")))</f>
        <v>#NAME?</v>
      </c>
      <c r="AB36" s="396" t="e">
        <f t="shared" si="2"/>
        <v>#NAME?</v>
      </c>
      <c r="AC36" s="396" t="e">
        <f t="shared" si="2"/>
        <v>#NAME?</v>
      </c>
      <c r="AD36" s="396" t="e">
        <f t="shared" si="2"/>
        <v>#NAME?</v>
      </c>
      <c r="AE36" s="396" t="e">
        <f t="shared" si="2"/>
        <v>#NAME?</v>
      </c>
      <c r="AF36" s="396" t="e">
        <f t="shared" si="2"/>
        <v>#NAME?</v>
      </c>
      <c r="AG36" s="396" t="e">
        <f t="shared" si="2"/>
        <v>#NAME?</v>
      </c>
      <c r="AH36" s="396" t="e">
        <f t="shared" si="2"/>
        <v>#NAME?</v>
      </c>
      <c r="AI36" s="396" t="e">
        <f t="shared" si="2"/>
        <v>#NAME?</v>
      </c>
      <c r="AJ36" s="396" t="e">
        <f t="shared" si="2"/>
        <v>#NAME?</v>
      </c>
    </row>
    <row r="37" spans="1:55" s="76" customFormat="1" ht="9.9499999999999993" customHeight="1">
      <c r="A37" s="74"/>
      <c r="B37" s="74"/>
      <c r="C37" s="86"/>
      <c r="D37" s="86"/>
      <c r="E37" s="86"/>
      <c r="F37" s="86"/>
      <c r="G37" s="86"/>
      <c r="H37" s="86"/>
      <c r="I37" s="86"/>
      <c r="J37" s="86"/>
      <c r="K37" s="86"/>
      <c r="L37" s="86"/>
      <c r="M37" s="86"/>
      <c r="N37" s="71"/>
      <c r="O37" s="71"/>
      <c r="P37" s="71"/>
      <c r="Q37" s="71"/>
      <c r="R37" s="71"/>
      <c r="S37" s="71"/>
      <c r="T37" s="71"/>
      <c r="U37" s="71"/>
      <c r="V37" s="71"/>
      <c r="W37" s="71"/>
      <c r="X37" s="71"/>
      <c r="Y37" s="71"/>
      <c r="Z37" s="71"/>
      <c r="AA37" s="71"/>
      <c r="AB37" s="71"/>
      <c r="AC37" s="71"/>
      <c r="AD37" s="71"/>
      <c r="AE37" s="71"/>
      <c r="AF37" s="71"/>
      <c r="AG37" s="71"/>
      <c r="AH37" s="71"/>
      <c r="AI37" s="71"/>
      <c r="AJ37" s="75"/>
      <c r="AK37" s="75"/>
      <c r="AL37" s="75"/>
      <c r="AM37" s="75"/>
      <c r="AN37" s="75"/>
      <c r="AO37" s="75"/>
      <c r="AP37" s="75"/>
      <c r="AQ37" s="75"/>
      <c r="AR37" s="75"/>
      <c r="AS37" s="75"/>
      <c r="AT37" s="75"/>
      <c r="AU37" s="75"/>
      <c r="AV37" s="83"/>
      <c r="AW37" s="83"/>
      <c r="AX37" s="83"/>
      <c r="AY37" s="83"/>
      <c r="AZ37" s="83"/>
      <c r="BA37" s="83"/>
      <c r="BB37" s="77"/>
      <c r="BC37" s="77"/>
    </row>
    <row r="38" spans="1:55" s="76" customFormat="1" ht="21.95" customHeight="1">
      <c r="A38" s="74"/>
      <c r="B38" s="74"/>
      <c r="C38" s="391" t="s">
        <v>149</v>
      </c>
      <c r="D38" s="358"/>
      <c r="E38" s="358"/>
      <c r="F38" s="358"/>
      <c r="G38" s="358"/>
      <c r="H38" s="358"/>
      <c r="I38" s="358"/>
      <c r="J38" s="358"/>
      <c r="K38" s="358"/>
      <c r="L38" s="75"/>
      <c r="M38" s="392">
        <f>機械保有残高</f>
        <v>0</v>
      </c>
      <c r="N38" s="392"/>
      <c r="O38" s="392"/>
      <c r="P38" s="392"/>
      <c r="Q38" s="392"/>
      <c r="R38" s="392"/>
      <c r="S38" s="392"/>
      <c r="T38" s="392"/>
      <c r="U38" s="392"/>
      <c r="V38" s="392"/>
      <c r="W38" s="392"/>
      <c r="X38" s="392"/>
      <c r="Y38" s="87"/>
      <c r="Z38" s="390" t="s">
        <v>150</v>
      </c>
      <c r="AA38" s="390"/>
      <c r="AB38" s="390"/>
      <c r="AC38" s="71"/>
      <c r="AD38" s="71"/>
      <c r="AE38" s="71"/>
      <c r="AF38" s="71"/>
      <c r="AG38" s="71"/>
      <c r="AH38" s="71"/>
      <c r="AI38" s="71"/>
      <c r="AJ38" s="75"/>
      <c r="AK38" s="75"/>
      <c r="AL38" s="75"/>
      <c r="AM38" s="75"/>
      <c r="AN38" s="75"/>
      <c r="AO38" s="75"/>
      <c r="AP38" s="75"/>
      <c r="AQ38" s="75"/>
      <c r="AR38" s="75"/>
      <c r="AS38" s="75"/>
      <c r="AT38" s="75"/>
      <c r="AU38" s="75"/>
      <c r="AV38" s="83"/>
      <c r="AW38" s="83"/>
      <c r="AX38" s="83"/>
      <c r="AY38" s="83"/>
      <c r="AZ38" s="83"/>
      <c r="BA38" s="83"/>
      <c r="BB38" s="77"/>
      <c r="BC38" s="77"/>
    </row>
    <row r="39" spans="1:55" s="76" customFormat="1" ht="20.100000000000001" customHeight="1" thickBot="1">
      <c r="A39" s="74"/>
      <c r="B39" s="74"/>
      <c r="C39" s="86"/>
      <c r="D39" s="86"/>
      <c r="E39" s="86"/>
      <c r="F39" s="86"/>
      <c r="G39" s="86"/>
      <c r="H39" s="86"/>
      <c r="I39" s="86"/>
      <c r="J39" s="86"/>
      <c r="K39" s="86"/>
      <c r="L39" s="86"/>
      <c r="M39" s="86"/>
      <c r="N39" s="71"/>
      <c r="O39" s="71"/>
      <c r="P39" s="71"/>
      <c r="Q39" s="71"/>
      <c r="R39" s="71"/>
      <c r="S39" s="71"/>
      <c r="T39" s="71"/>
      <c r="U39" s="71"/>
      <c r="V39" s="71"/>
      <c r="W39" s="71"/>
      <c r="X39" s="71"/>
      <c r="Y39" s="71"/>
      <c r="Z39" s="71"/>
      <c r="AA39" s="71"/>
      <c r="AB39" s="71"/>
      <c r="AC39" s="71"/>
      <c r="AD39" s="71"/>
      <c r="AE39" s="71"/>
      <c r="AF39" s="71"/>
      <c r="AG39" s="71"/>
      <c r="AH39" s="71"/>
      <c r="AI39" s="71"/>
      <c r="AJ39" s="75"/>
      <c r="AK39" s="75"/>
      <c r="AL39" s="75"/>
      <c r="AM39" s="75"/>
      <c r="AN39" s="75"/>
      <c r="AO39" s="75"/>
      <c r="AP39" s="75"/>
      <c r="AQ39" s="75"/>
      <c r="AR39" s="75"/>
      <c r="AS39" s="75"/>
      <c r="AT39" s="75"/>
      <c r="AU39" s="75"/>
      <c r="AV39" s="83"/>
      <c r="AW39" s="83"/>
      <c r="AX39" s="83"/>
      <c r="AY39" s="83"/>
      <c r="AZ39" s="83"/>
      <c r="BA39" s="83"/>
      <c r="BB39" s="77"/>
      <c r="BC39" s="77"/>
    </row>
    <row r="40" spans="1:55" s="76" customFormat="1" ht="20.100000000000001" customHeight="1" thickTop="1" thickBot="1">
      <c r="A40" s="74"/>
      <c r="B40" s="74"/>
      <c r="C40" s="361" t="s">
        <v>151</v>
      </c>
      <c r="D40" s="362"/>
      <c r="E40" s="362"/>
      <c r="F40" s="362"/>
      <c r="G40" s="362"/>
      <c r="H40" s="362"/>
      <c r="I40" s="362"/>
      <c r="J40" s="362"/>
      <c r="K40" s="363"/>
      <c r="L40" s="88"/>
      <c r="M40" s="88"/>
      <c r="N40" s="71"/>
      <c r="O40" s="71"/>
      <c r="P40" s="71"/>
      <c r="Q40" s="71"/>
      <c r="R40" s="71"/>
      <c r="S40" s="71"/>
      <c r="T40" s="71"/>
      <c r="U40" s="71"/>
      <c r="V40" s="71"/>
      <c r="W40" s="71"/>
      <c r="X40" s="71"/>
      <c r="Y40" s="71"/>
      <c r="Z40" s="71"/>
      <c r="AA40" s="71"/>
      <c r="AB40" s="71"/>
      <c r="AC40" s="71"/>
      <c r="AD40" s="71"/>
      <c r="AE40" s="71"/>
      <c r="AF40" s="71"/>
      <c r="AG40" s="71"/>
      <c r="AH40" s="71"/>
      <c r="AI40" s="71"/>
      <c r="AJ40" s="75"/>
      <c r="AK40" s="75"/>
      <c r="AL40" s="75"/>
      <c r="AM40" s="75"/>
      <c r="AN40" s="75"/>
      <c r="AO40" s="75"/>
      <c r="AP40" s="75"/>
      <c r="AQ40" s="75"/>
      <c r="AR40" s="75"/>
      <c r="AS40" s="75"/>
      <c r="AT40" s="75"/>
      <c r="AU40" s="75"/>
      <c r="AV40" s="83"/>
      <c r="AW40" s="83"/>
      <c r="AX40" s="83"/>
      <c r="AY40" s="83"/>
      <c r="AZ40" s="83"/>
      <c r="BA40" s="83"/>
      <c r="BB40" s="77"/>
      <c r="BC40" s="77"/>
    </row>
    <row r="41" spans="1:55" s="76" customFormat="1" ht="18" customHeight="1" thickTop="1">
      <c r="A41" s="74"/>
      <c r="B41" s="74"/>
      <c r="C41" s="358" t="s">
        <v>152</v>
      </c>
      <c r="D41" s="358"/>
      <c r="E41" s="358"/>
      <c r="F41" s="358"/>
      <c r="G41" s="358"/>
      <c r="H41" s="358"/>
      <c r="I41" s="358"/>
      <c r="J41" s="358"/>
      <c r="K41" s="358"/>
      <c r="L41" s="75"/>
      <c r="M41" s="359" t="str">
        <f>"" &amp; 担当者部署</f>
        <v/>
      </c>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59"/>
      <c r="AQ41" s="359"/>
      <c r="AR41" s="359"/>
      <c r="AS41" s="359"/>
      <c r="AT41" s="359"/>
      <c r="AU41" s="359"/>
      <c r="AV41" s="359"/>
      <c r="AW41" s="359"/>
      <c r="AX41" s="359"/>
      <c r="AY41" s="359"/>
      <c r="AZ41" s="359"/>
      <c r="BA41" s="359"/>
      <c r="BB41" s="77"/>
      <c r="BC41" s="77"/>
    </row>
    <row r="42" spans="1:55" s="76" customFormat="1" ht="3" customHeight="1">
      <c r="A42" s="74"/>
      <c r="B42" s="74"/>
      <c r="C42" s="79"/>
      <c r="D42" s="79"/>
      <c r="E42" s="79"/>
      <c r="F42" s="79"/>
      <c r="G42" s="79"/>
      <c r="H42" s="79"/>
      <c r="I42" s="79"/>
      <c r="J42" s="79"/>
      <c r="K42" s="79"/>
      <c r="L42" s="75"/>
      <c r="M42" s="80"/>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77"/>
      <c r="BC42" s="77"/>
    </row>
    <row r="43" spans="1:55" s="76" customFormat="1" ht="9.9499999999999993" customHeight="1">
      <c r="A43" s="74"/>
      <c r="B43" s="74"/>
      <c r="C43" s="358"/>
      <c r="D43" s="358"/>
      <c r="E43" s="358"/>
      <c r="F43" s="358"/>
      <c r="G43" s="358"/>
      <c r="H43" s="358"/>
      <c r="I43" s="358"/>
      <c r="J43" s="358"/>
      <c r="K43" s="358"/>
      <c r="L43" s="75"/>
      <c r="M43" s="387" t="str">
        <f xml:space="preserve"> "" &amp; 担当者氏名カナ</f>
        <v/>
      </c>
      <c r="N43" s="387"/>
      <c r="O43" s="387"/>
      <c r="P43" s="387"/>
      <c r="Q43" s="387"/>
      <c r="R43" s="387"/>
      <c r="S43" s="387"/>
      <c r="T43" s="387"/>
      <c r="U43" s="387"/>
      <c r="V43" s="387"/>
      <c r="W43" s="387"/>
      <c r="X43" s="387"/>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77"/>
      <c r="BC43" s="77"/>
    </row>
    <row r="44" spans="1:55" s="76" customFormat="1" ht="12.95" customHeight="1">
      <c r="A44" s="74"/>
      <c r="B44" s="74"/>
      <c r="C44" s="358" t="s">
        <v>153</v>
      </c>
      <c r="D44" s="358"/>
      <c r="E44" s="358"/>
      <c r="F44" s="358"/>
      <c r="G44" s="358"/>
      <c r="H44" s="358"/>
      <c r="I44" s="358"/>
      <c r="J44" s="358"/>
      <c r="K44" s="358"/>
      <c r="L44" s="75"/>
      <c r="M44" s="359" t="str">
        <f>"" &amp; 担当者氏名</f>
        <v/>
      </c>
      <c r="N44" s="359"/>
      <c r="O44" s="359"/>
      <c r="P44" s="359"/>
      <c r="Q44" s="359"/>
      <c r="R44" s="359"/>
      <c r="S44" s="359"/>
      <c r="T44" s="359"/>
      <c r="U44" s="359"/>
      <c r="V44" s="359"/>
      <c r="W44" s="359"/>
      <c r="X44" s="359"/>
      <c r="Y44" s="83"/>
      <c r="Z44" s="83"/>
      <c r="AA44" s="83"/>
      <c r="AB44" s="83"/>
      <c r="AC44" s="83"/>
      <c r="AD44" s="83"/>
      <c r="AE44" s="83"/>
      <c r="AF44" s="83"/>
    </row>
    <row r="45" spans="1:55" s="76" customFormat="1" ht="3" customHeight="1">
      <c r="A45" s="74"/>
      <c r="B45" s="74"/>
      <c r="C45" s="79"/>
      <c r="D45" s="79"/>
      <c r="E45" s="79"/>
      <c r="F45" s="79"/>
      <c r="G45" s="79"/>
      <c r="H45" s="79"/>
      <c r="I45" s="79"/>
      <c r="J45" s="79"/>
      <c r="K45" s="79"/>
      <c r="L45" s="75"/>
      <c r="M45" s="80"/>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77"/>
      <c r="BC45" s="77"/>
    </row>
    <row r="46" spans="1:55" s="76" customFormat="1" ht="18" customHeight="1">
      <c r="A46" s="74"/>
      <c r="B46" s="74"/>
      <c r="C46" s="358" t="s">
        <v>137</v>
      </c>
      <c r="D46" s="358"/>
      <c r="E46" s="358"/>
      <c r="F46" s="358"/>
      <c r="G46" s="358"/>
      <c r="H46" s="358"/>
      <c r="I46" s="358"/>
      <c r="J46" s="358"/>
      <c r="K46" s="358"/>
      <c r="L46" s="75"/>
      <c r="M46" s="390" t="str">
        <f>"" &amp; 担当者TEL</f>
        <v/>
      </c>
      <c r="N46" s="390"/>
      <c r="O46" s="390"/>
      <c r="P46" s="390"/>
      <c r="Q46" s="390"/>
      <c r="R46" s="390"/>
      <c r="S46" s="390"/>
      <c r="T46" s="390"/>
      <c r="U46" s="390"/>
      <c r="V46" s="390"/>
      <c r="W46" s="390"/>
      <c r="X46" s="390"/>
      <c r="Y46" s="83"/>
      <c r="Z46" s="360" t="s">
        <v>138</v>
      </c>
      <c r="AA46" s="360"/>
      <c r="AB46" s="360"/>
      <c r="AC46" s="360"/>
      <c r="AD46" s="360"/>
      <c r="AE46" s="360"/>
      <c r="AF46" s="360"/>
      <c r="AG46" s="360"/>
      <c r="AH46" s="83"/>
      <c r="AI46" s="359" t="str">
        <f>"" &amp; 担当者FAX</f>
        <v/>
      </c>
      <c r="AJ46" s="359"/>
      <c r="AK46" s="359"/>
      <c r="AL46" s="359"/>
      <c r="AM46" s="359"/>
      <c r="AN46" s="359"/>
      <c r="AO46" s="359"/>
      <c r="AP46" s="359"/>
      <c r="AQ46" s="359"/>
      <c r="AR46" s="359"/>
      <c r="AS46" s="359"/>
      <c r="AT46" s="359"/>
      <c r="BB46" s="77"/>
      <c r="BC46" s="77"/>
    </row>
    <row r="47" spans="1:55" s="76" customFormat="1" ht="3" customHeight="1">
      <c r="A47" s="74"/>
      <c r="B47" s="74"/>
      <c r="C47" s="79"/>
      <c r="D47" s="79"/>
      <c r="E47" s="79"/>
      <c r="F47" s="79"/>
      <c r="G47" s="79"/>
      <c r="H47" s="79"/>
      <c r="I47" s="79"/>
      <c r="J47" s="79"/>
      <c r="K47" s="79"/>
      <c r="L47" s="75"/>
      <c r="M47" s="80"/>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77"/>
      <c r="BC47" s="77"/>
    </row>
    <row r="48" spans="1:55" s="76" customFormat="1" ht="18" customHeight="1">
      <c r="A48" s="74"/>
      <c r="B48" s="74"/>
      <c r="C48" s="358" t="s">
        <v>154</v>
      </c>
      <c r="D48" s="358"/>
      <c r="E48" s="358"/>
      <c r="F48" s="358"/>
      <c r="G48" s="358"/>
      <c r="H48" s="358"/>
      <c r="I48" s="358"/>
      <c r="J48" s="358"/>
      <c r="K48" s="358"/>
      <c r="L48" s="75"/>
      <c r="M48" s="359" t="str">
        <f>"" &amp; 担当者アドレス</f>
        <v/>
      </c>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77"/>
      <c r="BC48" s="77"/>
    </row>
    <row r="49" spans="1:55" s="70" customFormat="1" ht="18" customHeight="1" thickBot="1">
      <c r="A49" s="68"/>
      <c r="B49" s="68"/>
      <c r="C49" s="71"/>
      <c r="D49" s="71"/>
      <c r="E49" s="71"/>
      <c r="F49" s="71"/>
      <c r="G49" s="71"/>
      <c r="H49" s="71"/>
      <c r="I49" s="71"/>
      <c r="J49" s="71"/>
      <c r="K49" s="71"/>
      <c r="L49" s="71"/>
      <c r="M49" s="71"/>
      <c r="N49" s="71"/>
      <c r="O49" s="71"/>
      <c r="P49" s="71"/>
      <c r="Q49" s="71"/>
      <c r="R49" s="71"/>
      <c r="S49" s="71"/>
      <c r="T49" s="71"/>
      <c r="U49" s="71"/>
      <c r="V49" s="71"/>
      <c r="W49" s="71"/>
      <c r="X49" s="71"/>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69"/>
      <c r="BC49" s="69"/>
    </row>
    <row r="50" spans="1:55" s="76" customFormat="1" ht="20.100000000000001" customHeight="1" thickTop="1" thickBot="1">
      <c r="A50" s="74"/>
      <c r="B50" s="74"/>
      <c r="C50" s="361" t="s">
        <v>155</v>
      </c>
      <c r="D50" s="362"/>
      <c r="E50" s="362"/>
      <c r="F50" s="362"/>
      <c r="G50" s="362"/>
      <c r="H50" s="362"/>
      <c r="I50" s="362"/>
      <c r="J50" s="362"/>
      <c r="K50" s="363"/>
      <c r="L50" s="88"/>
      <c r="M50" s="88"/>
      <c r="N50" s="71"/>
      <c r="O50" s="71"/>
      <c r="P50" s="71"/>
      <c r="Q50" s="71"/>
      <c r="R50" s="71"/>
      <c r="S50" s="71"/>
      <c r="T50" s="71"/>
      <c r="U50" s="71"/>
      <c r="V50" s="71"/>
      <c r="W50" s="71"/>
      <c r="X50" s="71"/>
      <c r="Y50" s="71"/>
      <c r="Z50" s="71"/>
      <c r="AA50" s="71"/>
      <c r="AB50" s="71"/>
      <c r="AC50" s="71"/>
      <c r="AD50" s="71"/>
      <c r="AE50" s="71"/>
      <c r="AF50" s="71"/>
      <c r="AG50" s="71"/>
      <c r="AH50" s="71"/>
      <c r="AI50" s="71"/>
      <c r="AJ50" s="75"/>
      <c r="AK50" s="75"/>
      <c r="AL50" s="75"/>
      <c r="AM50" s="75"/>
      <c r="AN50" s="75"/>
      <c r="AO50" s="75"/>
      <c r="AP50" s="75"/>
      <c r="AQ50" s="75"/>
      <c r="AR50" s="75"/>
      <c r="AS50" s="75"/>
      <c r="AT50" s="75"/>
      <c r="AU50" s="75"/>
      <c r="AV50" s="83"/>
      <c r="AW50" s="83"/>
      <c r="AX50" s="83"/>
      <c r="AY50" s="83"/>
      <c r="AZ50" s="83"/>
      <c r="BA50" s="83"/>
      <c r="BB50" s="77"/>
      <c r="BC50" s="77"/>
    </row>
    <row r="51" spans="1:55" s="70" customFormat="1" ht="18" customHeight="1" thickTop="1">
      <c r="A51" s="68"/>
      <c r="B51" s="68"/>
      <c r="C51" s="358" t="s">
        <v>135</v>
      </c>
      <c r="D51" s="358"/>
      <c r="E51" s="358"/>
      <c r="F51" s="358"/>
      <c r="G51" s="358"/>
      <c r="H51" s="358"/>
      <c r="I51" s="358"/>
      <c r="J51" s="358"/>
      <c r="K51" s="358"/>
      <c r="L51" s="71"/>
      <c r="M51" s="359" t="s">
        <v>136</v>
      </c>
      <c r="N51" s="359"/>
      <c r="O51" s="390" t="str">
        <f xml:space="preserve"> IF(ISBLANK(委任先郵便), "", TEXT(委任先郵便, "000-0000"))</f>
        <v/>
      </c>
      <c r="P51" s="390"/>
      <c r="Q51" s="390"/>
      <c r="R51" s="390"/>
      <c r="S51" s="390"/>
      <c r="T51" s="89"/>
      <c r="U51" s="359" t="str">
        <f>"" &amp; 委任先所在地</f>
        <v/>
      </c>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68"/>
      <c r="BC51" s="69"/>
    </row>
    <row r="52" spans="1:55" s="76" customFormat="1" ht="3" customHeight="1">
      <c r="A52" s="74"/>
      <c r="B52" s="74"/>
      <c r="C52" s="79"/>
      <c r="D52" s="79"/>
      <c r="E52" s="79"/>
      <c r="F52" s="79"/>
      <c r="G52" s="79"/>
      <c r="H52" s="79"/>
      <c r="I52" s="79"/>
      <c r="J52" s="79"/>
      <c r="K52" s="79"/>
      <c r="L52" s="75"/>
      <c r="M52" s="80"/>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77"/>
      <c r="BC52" s="77"/>
    </row>
    <row r="53" spans="1:55" s="70" customFormat="1" ht="9.9499999999999993" customHeight="1">
      <c r="A53" s="68"/>
      <c r="B53" s="68"/>
      <c r="C53" s="388"/>
      <c r="D53" s="388"/>
      <c r="E53" s="388"/>
      <c r="F53" s="388"/>
      <c r="G53" s="388"/>
      <c r="H53" s="388"/>
      <c r="I53" s="388"/>
      <c r="J53" s="388"/>
      <c r="K53" s="388"/>
      <c r="L53" s="71"/>
      <c r="M53" s="389" t="str">
        <f>"" &amp; 委任先名称カナ</f>
        <v/>
      </c>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c r="AX53" s="389"/>
      <c r="AY53" s="389"/>
      <c r="AZ53" s="389"/>
      <c r="BA53" s="389"/>
      <c r="BB53" s="68"/>
      <c r="BC53" s="69"/>
    </row>
    <row r="54" spans="1:55" s="70" customFormat="1" ht="12.95" customHeight="1">
      <c r="A54" s="68"/>
      <c r="B54" s="68"/>
      <c r="C54" s="358" t="s">
        <v>156</v>
      </c>
      <c r="D54" s="358"/>
      <c r="E54" s="358"/>
      <c r="F54" s="358"/>
      <c r="G54" s="358"/>
      <c r="H54" s="358"/>
      <c r="I54" s="358"/>
      <c r="J54" s="358"/>
      <c r="K54" s="358"/>
      <c r="L54" s="71"/>
      <c r="M54" s="359" t="str">
        <f>"" &amp; 委任先名称</f>
        <v/>
      </c>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c r="BB54" s="68"/>
      <c r="BC54" s="69"/>
    </row>
    <row r="55" spans="1:55" s="76" customFormat="1" ht="3" customHeight="1">
      <c r="A55" s="74"/>
      <c r="B55" s="74"/>
      <c r="C55" s="79"/>
      <c r="D55" s="79"/>
      <c r="E55" s="79"/>
      <c r="F55" s="79"/>
      <c r="G55" s="79"/>
      <c r="H55" s="79"/>
      <c r="I55" s="79"/>
      <c r="J55" s="79"/>
      <c r="K55" s="79"/>
      <c r="L55" s="75"/>
      <c r="M55" s="80"/>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77"/>
      <c r="BC55" s="77"/>
    </row>
    <row r="56" spans="1:55" s="70" customFormat="1" ht="9.9499999999999993" customHeight="1">
      <c r="A56" s="68"/>
      <c r="B56" s="68"/>
      <c r="C56" s="358"/>
      <c r="D56" s="358"/>
      <c r="E56" s="358"/>
      <c r="F56" s="358"/>
      <c r="G56" s="358"/>
      <c r="H56" s="358"/>
      <c r="I56" s="358"/>
      <c r="J56" s="358"/>
      <c r="K56" s="358"/>
      <c r="L56" s="71"/>
      <c r="M56" s="75"/>
      <c r="N56" s="75"/>
      <c r="O56" s="75"/>
      <c r="P56" s="75"/>
      <c r="Q56" s="75"/>
      <c r="R56" s="75"/>
      <c r="S56" s="75"/>
      <c r="T56" s="75"/>
      <c r="U56" s="75"/>
      <c r="V56" s="75"/>
      <c r="W56" s="75"/>
      <c r="X56" s="387" t="str">
        <f>"" &amp; 委任先代表者氏名カナ</f>
        <v/>
      </c>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68"/>
      <c r="BC56" s="69"/>
    </row>
    <row r="57" spans="1:55" s="70" customFormat="1" ht="12.95" customHeight="1">
      <c r="A57" s="68"/>
      <c r="B57" s="68"/>
      <c r="C57" s="358" t="s">
        <v>214</v>
      </c>
      <c r="D57" s="358"/>
      <c r="E57" s="358"/>
      <c r="F57" s="358"/>
      <c r="G57" s="358"/>
      <c r="H57" s="358"/>
      <c r="I57" s="358"/>
      <c r="J57" s="358"/>
      <c r="K57" s="358"/>
      <c r="L57" s="71"/>
      <c r="M57" s="359" t="str">
        <f>"" &amp; 委任先代表者職名</f>
        <v/>
      </c>
      <c r="N57" s="359"/>
      <c r="O57" s="359"/>
      <c r="P57" s="359"/>
      <c r="Q57" s="359"/>
      <c r="R57" s="359"/>
      <c r="S57" s="359"/>
      <c r="T57" s="359"/>
      <c r="U57" s="359"/>
      <c r="V57" s="359"/>
      <c r="W57" s="82"/>
      <c r="X57" s="359" t="str">
        <f>"" &amp; 委任先代表者氏名</f>
        <v/>
      </c>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59"/>
      <c r="AY57" s="359"/>
      <c r="AZ57" s="359"/>
      <c r="BA57" s="359"/>
      <c r="BB57" s="68"/>
      <c r="BC57" s="69"/>
    </row>
    <row r="58" spans="1:55" s="76" customFormat="1" ht="3" customHeight="1">
      <c r="A58" s="74"/>
      <c r="B58" s="74"/>
      <c r="C58" s="79"/>
      <c r="D58" s="79"/>
      <c r="E58" s="79"/>
      <c r="F58" s="79"/>
      <c r="G58" s="79"/>
      <c r="H58" s="79"/>
      <c r="I58" s="79"/>
      <c r="J58" s="79"/>
      <c r="K58" s="79"/>
      <c r="L58" s="75"/>
      <c r="M58" s="80"/>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77"/>
      <c r="BC58" s="77"/>
    </row>
    <row r="59" spans="1:55" s="70" customFormat="1" ht="18" customHeight="1">
      <c r="A59" s="68"/>
      <c r="B59" s="68"/>
      <c r="C59" s="358" t="s">
        <v>137</v>
      </c>
      <c r="D59" s="358"/>
      <c r="E59" s="358"/>
      <c r="F59" s="358"/>
      <c r="G59" s="358"/>
      <c r="H59" s="358"/>
      <c r="I59" s="358"/>
      <c r="J59" s="358"/>
      <c r="K59" s="358"/>
      <c r="L59" s="71"/>
      <c r="M59" s="359" t="str">
        <f>"" &amp; 委任先TEL</f>
        <v/>
      </c>
      <c r="N59" s="359"/>
      <c r="O59" s="359"/>
      <c r="P59" s="359"/>
      <c r="Q59" s="359"/>
      <c r="R59" s="359"/>
      <c r="S59" s="359"/>
      <c r="T59" s="359"/>
      <c r="U59" s="359"/>
      <c r="V59" s="359"/>
      <c r="W59" s="359"/>
      <c r="X59" s="359"/>
      <c r="Y59" s="72"/>
      <c r="Z59" s="360" t="s">
        <v>138</v>
      </c>
      <c r="AA59" s="360"/>
      <c r="AB59" s="360"/>
      <c r="AC59" s="360"/>
      <c r="AD59" s="360"/>
      <c r="AE59" s="360"/>
      <c r="AF59" s="360"/>
      <c r="AG59" s="360"/>
      <c r="AH59" s="72"/>
      <c r="AI59" s="359" t="str">
        <f>"" &amp; 委任先FAX</f>
        <v/>
      </c>
      <c r="AJ59" s="359"/>
      <c r="AK59" s="359"/>
      <c r="AL59" s="359"/>
      <c r="AM59" s="359"/>
      <c r="AN59" s="359"/>
      <c r="AO59" s="359"/>
      <c r="AP59" s="359"/>
      <c r="AQ59" s="359"/>
      <c r="AR59" s="359"/>
      <c r="AS59" s="359"/>
      <c r="AT59" s="359"/>
      <c r="BB59" s="68"/>
      <c r="BC59" s="69"/>
    </row>
    <row r="60" spans="1:55" s="70" customFormat="1" ht="18" customHeight="1" thickBot="1">
      <c r="A60" s="68"/>
      <c r="B60" s="68"/>
      <c r="C60" s="71"/>
      <c r="D60" s="71"/>
      <c r="E60" s="71"/>
      <c r="F60" s="71"/>
      <c r="G60" s="71"/>
      <c r="H60" s="71"/>
      <c r="I60" s="71"/>
      <c r="J60" s="71"/>
      <c r="K60" s="71"/>
      <c r="L60" s="71"/>
      <c r="M60" s="71"/>
      <c r="N60" s="71"/>
      <c r="O60" s="71"/>
      <c r="P60" s="71"/>
      <c r="Q60" s="71"/>
      <c r="R60" s="71"/>
      <c r="S60" s="71"/>
      <c r="T60" s="71"/>
      <c r="U60" s="71"/>
      <c r="V60" s="71"/>
      <c r="W60" s="71"/>
      <c r="X60" s="71"/>
      <c r="Y60" s="71"/>
      <c r="Z60" s="71"/>
      <c r="AV60" s="71"/>
      <c r="AW60" s="71"/>
      <c r="AX60" s="71"/>
      <c r="AY60" s="71"/>
      <c r="AZ60" s="71"/>
      <c r="BA60" s="71"/>
      <c r="BB60" s="68"/>
      <c r="BC60" s="69"/>
    </row>
    <row r="61" spans="1:55" s="76" customFormat="1" ht="20.100000000000001" customHeight="1" thickTop="1" thickBot="1">
      <c r="A61" s="74"/>
      <c r="B61" s="74"/>
      <c r="C61" s="361" t="s">
        <v>157</v>
      </c>
      <c r="D61" s="362"/>
      <c r="E61" s="362"/>
      <c r="F61" s="362"/>
      <c r="G61" s="362"/>
      <c r="H61" s="362"/>
      <c r="I61" s="362"/>
      <c r="J61" s="362"/>
      <c r="K61" s="363"/>
      <c r="L61" s="88"/>
      <c r="M61" s="88"/>
      <c r="N61" s="71"/>
      <c r="O61" s="71"/>
      <c r="P61" s="71"/>
      <c r="Q61" s="71"/>
      <c r="R61" s="71"/>
      <c r="S61" s="71"/>
      <c r="T61" s="71"/>
      <c r="U61" s="71"/>
      <c r="V61" s="71"/>
      <c r="W61" s="71"/>
      <c r="X61" s="71"/>
      <c r="Y61" s="71"/>
      <c r="Z61" s="71"/>
      <c r="AA61" s="71"/>
      <c r="AB61" s="71"/>
      <c r="AC61" s="71"/>
      <c r="AD61" s="71"/>
      <c r="AE61" s="71"/>
      <c r="AF61" s="71"/>
      <c r="AG61" s="71"/>
      <c r="AH61" s="71"/>
      <c r="AI61" s="71"/>
      <c r="AJ61" s="75"/>
      <c r="AK61" s="75"/>
      <c r="AL61" s="75"/>
      <c r="AM61" s="75"/>
      <c r="AN61" s="75"/>
      <c r="AO61" s="75"/>
      <c r="AP61" s="75"/>
      <c r="AQ61" s="75"/>
      <c r="AR61" s="75"/>
      <c r="AS61" s="75"/>
      <c r="AT61" s="75"/>
      <c r="AU61" s="75"/>
      <c r="AV61" s="83"/>
      <c r="AW61" s="83"/>
      <c r="AX61" s="83"/>
      <c r="AY61" s="83"/>
      <c r="AZ61" s="83"/>
      <c r="BA61" s="83"/>
      <c r="BB61" s="77"/>
      <c r="BC61" s="77"/>
    </row>
    <row r="62" spans="1:55" s="70" customFormat="1" ht="18" customHeight="1" thickTop="1">
      <c r="A62" s="68"/>
      <c r="B62" s="68"/>
      <c r="C62" s="358" t="s">
        <v>135</v>
      </c>
      <c r="D62" s="358"/>
      <c r="E62" s="358"/>
      <c r="F62" s="358"/>
      <c r="G62" s="358"/>
      <c r="H62" s="358"/>
      <c r="I62" s="358"/>
      <c r="J62" s="358"/>
      <c r="K62" s="358"/>
      <c r="L62" s="90"/>
      <c r="M62" s="359" t="s">
        <v>136</v>
      </c>
      <c r="N62" s="359"/>
      <c r="O62" s="386" t="str">
        <f xml:space="preserve"> IF(ISBLANK(申請代理人郵便), "", TEXT(申請代理人郵便, "000-0000"))</f>
        <v/>
      </c>
      <c r="P62" s="386"/>
      <c r="Q62" s="386"/>
      <c r="R62" s="386"/>
      <c r="S62" s="386"/>
      <c r="T62" s="91"/>
      <c r="U62" s="386" t="str">
        <f>"" &amp; 申請代理人所在地</f>
        <v/>
      </c>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69"/>
      <c r="BC62" s="69"/>
    </row>
    <row r="63" spans="1:55" s="76" customFormat="1" ht="3" customHeight="1">
      <c r="A63" s="74"/>
      <c r="B63" s="74"/>
      <c r="C63" s="79"/>
      <c r="D63" s="79"/>
      <c r="E63" s="79"/>
      <c r="F63" s="79"/>
      <c r="G63" s="79"/>
      <c r="H63" s="79"/>
      <c r="I63" s="79"/>
      <c r="J63" s="79"/>
      <c r="K63" s="79"/>
      <c r="L63" s="75"/>
      <c r="M63" s="80"/>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77"/>
      <c r="BC63" s="77"/>
    </row>
    <row r="64" spans="1:55" s="70" customFormat="1" ht="9.9499999999999993" customHeight="1">
      <c r="A64" s="68"/>
      <c r="B64" s="68"/>
      <c r="C64" s="358"/>
      <c r="D64" s="358"/>
      <c r="E64" s="358"/>
      <c r="F64" s="358"/>
      <c r="G64" s="358"/>
      <c r="H64" s="358"/>
      <c r="I64" s="358"/>
      <c r="J64" s="358"/>
      <c r="K64" s="358"/>
      <c r="L64" s="71"/>
      <c r="M64" s="387" t="str">
        <f>"" &amp; 申請代理人氏名カナ</f>
        <v/>
      </c>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B64" s="68"/>
    </row>
    <row r="65" spans="1:55" s="70" customFormat="1" ht="12.95" customHeight="1">
      <c r="A65" s="68"/>
      <c r="B65" s="68"/>
      <c r="C65" s="358" t="s">
        <v>158</v>
      </c>
      <c r="D65" s="358"/>
      <c r="E65" s="358"/>
      <c r="F65" s="358"/>
      <c r="G65" s="358"/>
      <c r="H65" s="358"/>
      <c r="I65" s="358"/>
      <c r="J65" s="358"/>
      <c r="K65" s="358"/>
      <c r="L65" s="90"/>
      <c r="M65" s="386" t="str">
        <f>"" &amp;申請代理人氏名</f>
        <v/>
      </c>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69"/>
      <c r="BC65" s="69"/>
    </row>
    <row r="66" spans="1:55" s="76" customFormat="1" ht="3" customHeight="1">
      <c r="A66" s="74"/>
      <c r="B66" s="74"/>
      <c r="C66" s="79"/>
      <c r="D66" s="79"/>
      <c r="E66" s="79"/>
      <c r="F66" s="79"/>
      <c r="G66" s="79"/>
      <c r="H66" s="79"/>
      <c r="I66" s="79"/>
      <c r="J66" s="79"/>
      <c r="K66" s="79"/>
      <c r="L66" s="75"/>
      <c r="M66" s="80"/>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77"/>
      <c r="BC66" s="77"/>
    </row>
    <row r="67" spans="1:55" s="76" customFormat="1" ht="18" customHeight="1">
      <c r="A67" s="74"/>
      <c r="B67" s="74"/>
      <c r="C67" s="358" t="s">
        <v>137</v>
      </c>
      <c r="D67" s="358"/>
      <c r="E67" s="358"/>
      <c r="F67" s="358"/>
      <c r="G67" s="358"/>
      <c r="H67" s="358"/>
      <c r="I67" s="358"/>
      <c r="J67" s="358"/>
      <c r="K67" s="358"/>
      <c r="L67" s="75"/>
      <c r="M67" s="359" t="str">
        <f>"" &amp; 申請代理人TEL</f>
        <v/>
      </c>
      <c r="N67" s="359"/>
      <c r="O67" s="359"/>
      <c r="P67" s="359"/>
      <c r="Q67" s="359"/>
      <c r="R67" s="359"/>
      <c r="S67" s="359"/>
      <c r="T67" s="359"/>
      <c r="U67" s="359"/>
      <c r="V67" s="359"/>
      <c r="W67" s="359"/>
      <c r="X67" s="359"/>
      <c r="Y67" s="83"/>
      <c r="Z67" s="360" t="s">
        <v>138</v>
      </c>
      <c r="AA67" s="360"/>
      <c r="AB67" s="360"/>
      <c r="AC67" s="360"/>
      <c r="AD67" s="360"/>
      <c r="AE67" s="360"/>
      <c r="AF67" s="360"/>
      <c r="AG67" s="360"/>
      <c r="AH67" s="83"/>
      <c r="AI67" s="359" t="str">
        <f>"" &amp; 申請代理人FAX</f>
        <v/>
      </c>
      <c r="AJ67" s="359"/>
      <c r="AK67" s="359"/>
      <c r="AL67" s="359"/>
      <c r="AM67" s="359"/>
      <c r="AN67" s="359"/>
      <c r="AO67" s="359"/>
      <c r="AP67" s="359"/>
      <c r="AQ67" s="359"/>
      <c r="AR67" s="359"/>
      <c r="AS67" s="359"/>
      <c r="AT67" s="359"/>
      <c r="BB67" s="77"/>
      <c r="BC67" s="77"/>
    </row>
    <row r="68" spans="1:55" s="70" customFormat="1" ht="15" customHeight="1">
      <c r="A68" s="68"/>
      <c r="B68" s="68"/>
      <c r="C68" s="92"/>
      <c r="D68" s="93"/>
      <c r="E68" s="93"/>
      <c r="F68" s="93"/>
      <c r="G68" s="93"/>
      <c r="H68" s="93"/>
      <c r="I68" s="93"/>
      <c r="J68" s="93"/>
      <c r="K68" s="93"/>
      <c r="L68" s="90"/>
      <c r="M68" s="94"/>
      <c r="N68" s="94"/>
      <c r="O68" s="94"/>
      <c r="P68" s="94"/>
      <c r="Q68" s="94"/>
      <c r="R68" s="94"/>
      <c r="S68" s="94"/>
      <c r="T68" s="94"/>
      <c r="U68" s="94"/>
      <c r="V68" s="94"/>
      <c r="W68" s="94"/>
      <c r="X68" s="94"/>
      <c r="Y68" s="94"/>
      <c r="Z68" s="94"/>
      <c r="AA68" s="94"/>
      <c r="AB68" s="94"/>
      <c r="AC68" s="94"/>
      <c r="AD68" s="94"/>
      <c r="AE68" s="94"/>
      <c r="AF68" s="94"/>
      <c r="BB68" s="69"/>
      <c r="BC68" s="69"/>
    </row>
    <row r="69" spans="1:55" ht="15" customHeight="1" thickBot="1">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row>
    <row r="70" spans="1:55" s="76" customFormat="1" ht="20.100000000000001" customHeight="1" thickTop="1" thickBot="1">
      <c r="A70" s="74"/>
      <c r="B70" s="74"/>
      <c r="C70" s="361" t="s">
        <v>159</v>
      </c>
      <c r="D70" s="362"/>
      <c r="E70" s="362"/>
      <c r="F70" s="362"/>
      <c r="G70" s="362"/>
      <c r="H70" s="362"/>
      <c r="I70" s="362"/>
      <c r="J70" s="362"/>
      <c r="K70" s="362"/>
      <c r="L70" s="362"/>
      <c r="M70" s="362"/>
      <c r="N70" s="362"/>
      <c r="O70" s="362"/>
      <c r="P70" s="362"/>
      <c r="Q70" s="362"/>
      <c r="R70" s="363"/>
      <c r="S70" s="71"/>
      <c r="T70" s="71"/>
      <c r="U70" s="71"/>
      <c r="V70" s="71"/>
      <c r="W70" s="71"/>
      <c r="X70" s="71"/>
      <c r="Y70" s="71"/>
      <c r="Z70" s="71"/>
      <c r="AA70" s="71"/>
      <c r="AB70" s="71"/>
      <c r="AC70" s="71"/>
      <c r="AD70" s="71"/>
      <c r="AE70" s="71"/>
      <c r="AF70" s="71"/>
      <c r="AG70" s="71"/>
      <c r="AH70" s="71"/>
      <c r="AI70" s="71"/>
      <c r="AJ70" s="75"/>
      <c r="AK70" s="75"/>
      <c r="AL70" s="75"/>
      <c r="AM70" s="75"/>
      <c r="AN70" s="75"/>
      <c r="AO70" s="75"/>
      <c r="AP70" s="75"/>
      <c r="AQ70" s="75"/>
      <c r="AR70" s="75"/>
      <c r="AS70" s="75"/>
      <c r="AT70" s="75"/>
      <c r="AU70" s="75"/>
      <c r="AV70" s="83"/>
      <c r="AW70" s="83"/>
      <c r="AX70" s="83"/>
      <c r="AY70" s="83"/>
      <c r="AZ70" s="83"/>
      <c r="BA70" s="83"/>
      <c r="BB70" s="77"/>
      <c r="BC70" s="77"/>
    </row>
    <row r="71" spans="1:55" s="76" customFormat="1" ht="3" customHeight="1" thickTop="1">
      <c r="A71" s="74"/>
      <c r="B71" s="74"/>
      <c r="C71" s="79"/>
      <c r="D71" s="79"/>
      <c r="E71" s="79"/>
      <c r="F71" s="79"/>
      <c r="G71" s="79"/>
      <c r="H71" s="79"/>
      <c r="I71" s="79"/>
      <c r="J71" s="79"/>
      <c r="K71" s="79"/>
      <c r="L71" s="75"/>
      <c r="M71" s="80"/>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77"/>
      <c r="BC71" s="77"/>
    </row>
    <row r="72" spans="1:55" ht="15.95" customHeight="1">
      <c r="A72"/>
      <c r="B72"/>
      <c r="C72" s="364" t="s">
        <v>160</v>
      </c>
      <c r="D72" s="365"/>
      <c r="E72" s="365"/>
      <c r="F72" s="365"/>
      <c r="G72" s="365"/>
      <c r="H72" s="365"/>
      <c r="I72" s="365"/>
      <c r="J72" s="365"/>
      <c r="K72" s="365"/>
      <c r="L72" s="365"/>
      <c r="M72" s="365"/>
      <c r="N72" s="366"/>
      <c r="O72" s="370" t="s">
        <v>161</v>
      </c>
      <c r="P72" s="365"/>
      <c r="Q72" s="365"/>
      <c r="R72" s="366"/>
      <c r="S72" s="325" t="s">
        <v>162</v>
      </c>
      <c r="T72" s="326"/>
      <c r="U72" s="326"/>
      <c r="V72" s="326"/>
      <c r="W72" s="326"/>
      <c r="X72" s="326"/>
      <c r="Y72" s="326"/>
      <c r="Z72" s="327"/>
      <c r="AA72" s="372" t="s">
        <v>163</v>
      </c>
      <c r="AB72" s="373"/>
      <c r="AC72" s="373"/>
      <c r="AD72" s="373"/>
      <c r="AE72" s="373"/>
      <c r="AF72" s="374"/>
      <c r="AG72" s="378" t="s">
        <v>164</v>
      </c>
      <c r="AH72" s="379"/>
      <c r="AI72" s="379"/>
      <c r="AJ72" s="379"/>
      <c r="AK72" s="379"/>
      <c r="AL72" s="379"/>
      <c r="AM72" s="379"/>
      <c r="AN72" s="380"/>
      <c r="AO72" s="372" t="s">
        <v>165</v>
      </c>
      <c r="AP72" s="373"/>
      <c r="AQ72" s="373"/>
      <c r="AR72" s="384"/>
      <c r="AS72" s="97"/>
      <c r="AT72"/>
      <c r="AU72"/>
      <c r="AV72"/>
      <c r="AW72"/>
      <c r="AX72"/>
      <c r="AY72"/>
      <c r="AZ72"/>
      <c r="BA72"/>
      <c r="BB72"/>
      <c r="BC72"/>
    </row>
    <row r="73" spans="1:55" ht="15.95" customHeight="1">
      <c r="A73"/>
      <c r="B73"/>
      <c r="C73" s="367"/>
      <c r="D73" s="368"/>
      <c r="E73" s="368"/>
      <c r="F73" s="368"/>
      <c r="G73" s="368"/>
      <c r="H73" s="368"/>
      <c r="I73" s="368"/>
      <c r="J73" s="368"/>
      <c r="K73" s="368"/>
      <c r="L73" s="368"/>
      <c r="M73" s="368"/>
      <c r="N73" s="369"/>
      <c r="O73" s="371"/>
      <c r="P73" s="368"/>
      <c r="Q73" s="368"/>
      <c r="R73" s="369"/>
      <c r="S73" s="371" t="s">
        <v>166</v>
      </c>
      <c r="T73" s="368"/>
      <c r="U73" s="368"/>
      <c r="V73" s="368"/>
      <c r="W73" s="371" t="s">
        <v>167</v>
      </c>
      <c r="X73" s="368"/>
      <c r="Y73" s="368"/>
      <c r="Z73" s="369"/>
      <c r="AA73" s="375"/>
      <c r="AB73" s="376"/>
      <c r="AC73" s="376"/>
      <c r="AD73" s="376"/>
      <c r="AE73" s="376"/>
      <c r="AF73" s="377"/>
      <c r="AG73" s="381"/>
      <c r="AH73" s="382"/>
      <c r="AI73" s="382"/>
      <c r="AJ73" s="382"/>
      <c r="AK73" s="382"/>
      <c r="AL73" s="382"/>
      <c r="AM73" s="382"/>
      <c r="AN73" s="383"/>
      <c r="AO73" s="375"/>
      <c r="AP73" s="376"/>
      <c r="AQ73" s="376"/>
      <c r="AR73" s="385"/>
      <c r="AS73" s="97"/>
      <c r="AT73"/>
      <c r="AU73"/>
      <c r="AV73"/>
      <c r="AW73"/>
      <c r="AX73"/>
      <c r="AY73"/>
      <c r="AZ73"/>
      <c r="BA73"/>
      <c r="BB73"/>
      <c r="BC73"/>
    </row>
    <row r="74" spans="1:55" ht="15" customHeight="1">
      <c r="A74"/>
      <c r="B74"/>
      <c r="C74" s="322" t="s">
        <v>168</v>
      </c>
      <c r="D74" s="323"/>
      <c r="E74" s="323"/>
      <c r="F74" s="323"/>
      <c r="G74" s="323"/>
      <c r="H74" s="323"/>
      <c r="I74" s="323"/>
      <c r="J74" s="323"/>
      <c r="K74" s="323"/>
      <c r="L74" s="323"/>
      <c r="M74" s="323"/>
      <c r="N74" s="324"/>
      <c r="O74" s="325" t="str">
        <f>IF(土_希望="する", "〇", "")</f>
        <v/>
      </c>
      <c r="P74" s="326"/>
      <c r="Q74" s="326"/>
      <c r="R74" s="327"/>
      <c r="S74" s="352" t="str">
        <f>IF(土_希望&lt;&gt;"する", "", IF(ISBLANK(土_一級_内数),"",土_一級_内数))</f>
        <v/>
      </c>
      <c r="T74" s="285" t="str">
        <f>IF(ISBLANK(土_評点),"",土_評点)</f>
        <v/>
      </c>
      <c r="U74" s="285" t="str">
        <f>IF(ISBLANK(土_評点),"",土_評点)</f>
        <v/>
      </c>
      <c r="V74" s="285" t="str">
        <f>IF(ISBLANK(土_評点),"",土_評点)</f>
        <v/>
      </c>
      <c r="W74" s="352" t="str">
        <f>IF(土_希望&lt;&gt;"する", "", IF(ISBLANK(土_二級_内数),"",土_二級_内数))</f>
        <v/>
      </c>
      <c r="X74" s="285" t="str">
        <f>IF(ISBLANK(土_評点),"",土_評点)</f>
        <v/>
      </c>
      <c r="Y74" s="285" t="str">
        <f>IF(ISBLANK(土_評点),"",土_評点)</f>
        <v/>
      </c>
      <c r="Z74" s="286" t="str">
        <f>IF(ISBLANK(土_評点),"",土_評点)</f>
        <v/>
      </c>
      <c r="AA74" s="353" t="str">
        <f>IF(土_希望&lt;&gt;"する", "", IF(ISBLANK(土_評点),"",土_評点))</f>
        <v/>
      </c>
      <c r="AB74" s="329"/>
      <c r="AC74" s="329"/>
      <c r="AD74" s="329"/>
      <c r="AE74" s="329"/>
      <c r="AF74" s="330"/>
      <c r="AG74" s="354" t="str">
        <f>IF(土_希望&lt;&gt;"する", "", IF(ISBLANK(土_工事高),"",土_工事高))</f>
        <v/>
      </c>
      <c r="AH74" s="332"/>
      <c r="AI74" s="332"/>
      <c r="AJ74" s="332"/>
      <c r="AK74" s="332"/>
      <c r="AL74" s="332"/>
      <c r="AM74" s="332"/>
      <c r="AN74" s="333"/>
      <c r="AO74" s="334" t="str">
        <f>IF(土_希望&lt;&gt;"する", "", "" &amp; IF(土_区分="なし","", 土_区分))</f>
        <v/>
      </c>
      <c r="AP74" s="335"/>
      <c r="AQ74" s="335"/>
      <c r="AR74" s="336"/>
      <c r="AT74"/>
      <c r="AU74"/>
      <c r="AV74"/>
      <c r="AW74"/>
      <c r="AX74"/>
      <c r="AY74"/>
      <c r="AZ74"/>
      <c r="BA74"/>
      <c r="BB74"/>
      <c r="BC74"/>
    </row>
    <row r="75" spans="1:55" ht="15" customHeight="1">
      <c r="A75"/>
      <c r="B75"/>
      <c r="C75" s="297" t="s">
        <v>110</v>
      </c>
      <c r="D75" s="298"/>
      <c r="E75" s="298"/>
      <c r="F75" s="298"/>
      <c r="G75" s="298"/>
      <c r="H75" s="298"/>
      <c r="I75" s="298"/>
      <c r="J75" s="298"/>
      <c r="K75" s="298"/>
      <c r="L75" s="298"/>
      <c r="M75" s="298"/>
      <c r="N75" s="299"/>
      <c r="O75" s="294" t="str">
        <f>IF(プ_希望="する", "〇", "")</f>
        <v/>
      </c>
      <c r="P75" s="295"/>
      <c r="Q75" s="295"/>
      <c r="R75" s="300"/>
      <c r="S75" s="301" t="str">
        <f>IF(プ_希望&lt;&gt;"する", "", IF(ISBLANK(プ_一級_内数),"",プ_一級_内数))</f>
        <v/>
      </c>
      <c r="T75" s="302" t="str">
        <f>IF(ISBLANK(プ_評点),"",プ_評点)</f>
        <v/>
      </c>
      <c r="U75" s="302" t="str">
        <f>IF(ISBLANK(プ_評点),"",プ_評点)</f>
        <v/>
      </c>
      <c r="V75" s="302" t="str">
        <f>IF(ISBLANK(プ_評点),"",プ_評点)</f>
        <v/>
      </c>
      <c r="W75" s="301" t="str">
        <f>IF(プ_希望&lt;&gt;"する", "", IF(ISBLANK(プ_二級_内数),"",プ_二級_内数))</f>
        <v/>
      </c>
      <c r="X75" s="302" t="str">
        <f>IF(ISBLANK(プ_評点),"",プ_評点)</f>
        <v/>
      </c>
      <c r="Y75" s="302" t="str">
        <f>IF(ISBLANK(プ_評点),"",プ_評点)</f>
        <v/>
      </c>
      <c r="Z75" s="303" t="str">
        <f>IF(ISBLANK(プ_評点),"",プ_評点)</f>
        <v/>
      </c>
      <c r="AA75" s="343" t="str">
        <f>IF(プ_希望&lt;&gt;"する", "", IF(ISBLANK(プ_評点),"",プ_評点))</f>
        <v/>
      </c>
      <c r="AB75" s="344"/>
      <c r="AC75" s="344"/>
      <c r="AD75" s="344"/>
      <c r="AE75" s="344"/>
      <c r="AF75" s="345"/>
      <c r="AG75" s="304" t="str">
        <f>IF(プ_希望&lt;&gt;"する", "", IF(ISBLANK(プ_工事高),"",プ_工事高))</f>
        <v/>
      </c>
      <c r="AH75" s="305"/>
      <c r="AI75" s="305"/>
      <c r="AJ75" s="305"/>
      <c r="AK75" s="305"/>
      <c r="AL75" s="305"/>
      <c r="AM75" s="305"/>
      <c r="AN75" s="306"/>
      <c r="AO75" s="355"/>
      <c r="AP75" s="356"/>
      <c r="AQ75" s="356"/>
      <c r="AR75" s="357"/>
      <c r="AT75"/>
      <c r="AU75"/>
      <c r="AV75"/>
      <c r="AW75"/>
      <c r="AX75"/>
      <c r="AY75"/>
      <c r="AZ75"/>
      <c r="BA75"/>
      <c r="BB75"/>
      <c r="BC75"/>
    </row>
    <row r="76" spans="1:55" ht="15" customHeight="1">
      <c r="A76"/>
      <c r="B76"/>
      <c r="C76" s="297" t="s">
        <v>169</v>
      </c>
      <c r="D76" s="298"/>
      <c r="E76" s="298"/>
      <c r="F76" s="298"/>
      <c r="G76" s="298"/>
      <c r="H76" s="298"/>
      <c r="I76" s="298"/>
      <c r="J76" s="298"/>
      <c r="K76" s="298"/>
      <c r="L76" s="298"/>
      <c r="M76" s="298"/>
      <c r="N76" s="299"/>
      <c r="O76" s="294" t="str">
        <f>IF(建_希望="する", "〇", "")</f>
        <v/>
      </c>
      <c r="P76" s="295"/>
      <c r="Q76" s="295"/>
      <c r="R76" s="300"/>
      <c r="S76" s="301" t="str">
        <f>IF(建_希望&lt;&gt;"する", "", IF(ISBLANK(建_一級_内数),"",建_一級_内数))</f>
        <v/>
      </c>
      <c r="T76" s="302" t="str">
        <f>IF(ISBLANK(建_評点),"",建_評点)</f>
        <v/>
      </c>
      <c r="U76" s="302" t="str">
        <f>IF(ISBLANK(建_評点),"",建_評点)</f>
        <v/>
      </c>
      <c r="V76" s="302" t="str">
        <f>IF(ISBLANK(建_評点),"",建_評点)</f>
        <v/>
      </c>
      <c r="W76" s="301" t="str">
        <f>IF(建_希望&lt;&gt;"する", "", IF(ISBLANK(建_二級_内数),"",建_二級_内数))</f>
        <v/>
      </c>
      <c r="X76" s="302" t="str">
        <f>IF(ISBLANK(建_評点),"",建_評点)</f>
        <v/>
      </c>
      <c r="Y76" s="302" t="str">
        <f>IF(ISBLANK(建_評点),"",建_評点)</f>
        <v/>
      </c>
      <c r="Z76" s="303" t="str">
        <f>IF(ISBLANK(建_評点),"",建_評点)</f>
        <v/>
      </c>
      <c r="AA76" s="343" t="str">
        <f>IF(建_希望&lt;&gt;"する", "", IF(ISBLANK(建_評点),"",建_評点))</f>
        <v/>
      </c>
      <c r="AB76" s="344"/>
      <c r="AC76" s="344"/>
      <c r="AD76" s="344"/>
      <c r="AE76" s="344"/>
      <c r="AF76" s="345"/>
      <c r="AG76" s="304" t="str">
        <f>IF(建_希望&lt;&gt;"する", "", IF(ISBLANK(建_工事高),"",建_工事高))</f>
        <v/>
      </c>
      <c r="AH76" s="305"/>
      <c r="AI76" s="305"/>
      <c r="AJ76" s="305"/>
      <c r="AK76" s="305"/>
      <c r="AL76" s="305"/>
      <c r="AM76" s="305"/>
      <c r="AN76" s="306"/>
      <c r="AO76" s="340" t="str">
        <f>IF(建_希望&lt;&gt;"する","",""&amp;IF(建_区分="なし","",建_区分))</f>
        <v/>
      </c>
      <c r="AP76" s="341"/>
      <c r="AQ76" s="341"/>
      <c r="AR76" s="342"/>
      <c r="AT76"/>
      <c r="AU76"/>
      <c r="AV76"/>
      <c r="AW76"/>
      <c r="AX76"/>
      <c r="AY76"/>
      <c r="AZ76"/>
      <c r="BA76"/>
      <c r="BB76"/>
      <c r="BC76"/>
    </row>
    <row r="77" spans="1:55" ht="15" customHeight="1">
      <c r="A77"/>
      <c r="B77"/>
      <c r="C77" s="297" t="s">
        <v>170</v>
      </c>
      <c r="D77" s="298"/>
      <c r="E77" s="298"/>
      <c r="F77" s="298"/>
      <c r="G77" s="298"/>
      <c r="H77" s="298"/>
      <c r="I77" s="298"/>
      <c r="J77" s="298"/>
      <c r="K77" s="298"/>
      <c r="L77" s="298"/>
      <c r="M77" s="298"/>
      <c r="N77" s="299"/>
      <c r="O77" s="294" t="str">
        <f>IF(大_希望="する", "〇", "")</f>
        <v/>
      </c>
      <c r="P77" s="295"/>
      <c r="Q77" s="295"/>
      <c r="R77" s="300"/>
      <c r="S77" s="301" t="str">
        <f>IF(大_希望&lt;&gt;"する", "", IF(ISBLANK(大_一級_内数),"",大_一級_内数))</f>
        <v/>
      </c>
      <c r="T77" s="302" t="str">
        <f>IF(ISBLANK(大_評点),"",大_評点)</f>
        <v/>
      </c>
      <c r="U77" s="302" t="str">
        <f>IF(ISBLANK(大_評点),"",大_評点)</f>
        <v/>
      </c>
      <c r="V77" s="302" t="str">
        <f>IF(ISBLANK(大_評点),"",大_評点)</f>
        <v/>
      </c>
      <c r="W77" s="301" t="str">
        <f>IF(大_希望&lt;&gt;"する", "", IF(ISBLANK(大_二級_内数),"",大_二級_内数))</f>
        <v/>
      </c>
      <c r="X77" s="302" t="str">
        <f>IF(ISBLANK(大_評点),"",大_評点)</f>
        <v/>
      </c>
      <c r="Y77" s="302" t="str">
        <f>IF(ISBLANK(大_評点),"",大_評点)</f>
        <v/>
      </c>
      <c r="Z77" s="303" t="str">
        <f>IF(ISBLANK(大_評点),"",大_評点)</f>
        <v/>
      </c>
      <c r="AA77" s="343" t="str">
        <f>IF(大_希望&lt;&gt;"する","",IF(ISBLANK(大_評点),"",大_評点))</f>
        <v/>
      </c>
      <c r="AB77" s="344"/>
      <c r="AC77" s="344"/>
      <c r="AD77" s="344"/>
      <c r="AE77" s="344"/>
      <c r="AF77" s="345"/>
      <c r="AG77" s="304" t="str">
        <f>IF(大_希望&lt;&gt;"する", "", IF(ISBLANK(大_工事高),"",大_工事高))</f>
        <v/>
      </c>
      <c r="AH77" s="305"/>
      <c r="AI77" s="305"/>
      <c r="AJ77" s="305"/>
      <c r="AK77" s="305"/>
      <c r="AL77" s="305"/>
      <c r="AM77" s="305"/>
      <c r="AN77" s="306"/>
      <c r="AO77" s="340" t="str">
        <f>IF(大_希望&lt;&gt;"する", "", "" &amp; IF(大_区分="なし","", 大_区分))</f>
        <v/>
      </c>
      <c r="AP77" s="341"/>
      <c r="AQ77" s="341"/>
      <c r="AR77" s="342"/>
      <c r="AT77"/>
      <c r="AU77"/>
      <c r="AV77"/>
      <c r="AW77"/>
      <c r="AX77"/>
      <c r="AY77"/>
      <c r="AZ77"/>
      <c r="BA77"/>
      <c r="BB77"/>
      <c r="BC77"/>
    </row>
    <row r="78" spans="1:55" ht="15" customHeight="1">
      <c r="A78"/>
      <c r="B78"/>
      <c r="C78" s="268" t="s">
        <v>171</v>
      </c>
      <c r="D78" s="269"/>
      <c r="E78" s="269"/>
      <c r="F78" s="269"/>
      <c r="G78" s="269"/>
      <c r="H78" s="269"/>
      <c r="I78" s="269"/>
      <c r="J78" s="269"/>
      <c r="K78" s="269"/>
      <c r="L78" s="269"/>
      <c r="M78" s="269"/>
      <c r="N78" s="270"/>
      <c r="O78" s="265" t="str">
        <f>IF(左_希望="する", "〇", "")</f>
        <v/>
      </c>
      <c r="P78" s="266"/>
      <c r="Q78" s="266"/>
      <c r="R78" s="271"/>
      <c r="S78" s="272" t="str">
        <f>IF(左_希望&lt;&gt;"する", "", IF(ISBLANK(左_一級_内数),"",左_一級_内数))</f>
        <v/>
      </c>
      <c r="T78" s="273" t="str">
        <f>IF(ISBLANK(左_評点),"",左_評点)</f>
        <v/>
      </c>
      <c r="U78" s="273" t="str">
        <f>IF(ISBLANK(左_評点),"",左_評点)</f>
        <v/>
      </c>
      <c r="V78" s="273" t="str">
        <f>IF(ISBLANK(左_評点),"",左_評点)</f>
        <v/>
      </c>
      <c r="W78" s="272" t="str">
        <f>IF(左_希望&lt;&gt;"する", "", IF(ISBLANK(左_二級_内数),"",左_二級_内数))</f>
        <v/>
      </c>
      <c r="X78" s="273" t="str">
        <f>IF(ISBLANK(左_評点),"",左_評点)</f>
        <v/>
      </c>
      <c r="Y78" s="273" t="str">
        <f>IF(ISBLANK(左_評点),"",左_評点)</f>
        <v/>
      </c>
      <c r="Z78" s="274" t="str">
        <f>IF(ISBLANK(左_評点),"",左_評点)</f>
        <v/>
      </c>
      <c r="AA78" s="337" t="str">
        <f>IF(左_希望&lt;&gt;"する", "", IF(ISBLANK(左_評点),"",左_評点))</f>
        <v/>
      </c>
      <c r="AB78" s="338"/>
      <c r="AC78" s="338"/>
      <c r="AD78" s="338"/>
      <c r="AE78" s="338"/>
      <c r="AF78" s="339"/>
      <c r="AG78" s="275" t="str">
        <f>IF(左_希望&lt;&gt;"する", "", IF(ISBLANK(左_工事高),"",左_工事高))</f>
        <v/>
      </c>
      <c r="AH78" s="276"/>
      <c r="AI78" s="276"/>
      <c r="AJ78" s="276"/>
      <c r="AK78" s="276"/>
      <c r="AL78" s="276"/>
      <c r="AM78" s="276"/>
      <c r="AN78" s="277"/>
      <c r="AO78" s="319" t="str">
        <f>IF(左_希望&lt;&gt;"する", "", "" &amp; IF(左_区分="なし","", 左_区分))</f>
        <v/>
      </c>
      <c r="AP78" s="320"/>
      <c r="AQ78" s="320"/>
      <c r="AR78" s="321"/>
      <c r="AT78"/>
      <c r="AU78"/>
      <c r="AV78"/>
      <c r="AW78"/>
      <c r="AX78"/>
      <c r="AY78"/>
      <c r="AZ78"/>
      <c r="BA78"/>
      <c r="BB78"/>
      <c r="BC78"/>
    </row>
    <row r="79" spans="1:55" ht="15" customHeight="1">
      <c r="A79"/>
      <c r="B79"/>
      <c r="C79" s="322" t="s">
        <v>172</v>
      </c>
      <c r="D79" s="323"/>
      <c r="E79" s="323"/>
      <c r="F79" s="323"/>
      <c r="G79" s="323"/>
      <c r="H79" s="323"/>
      <c r="I79" s="323"/>
      <c r="J79" s="323"/>
      <c r="K79" s="323"/>
      <c r="L79" s="323"/>
      <c r="M79" s="323"/>
      <c r="N79" s="324"/>
      <c r="O79" s="325" t="str">
        <f>IF(と_希望="する", "〇", "")</f>
        <v/>
      </c>
      <c r="P79" s="326"/>
      <c r="Q79" s="326"/>
      <c r="R79" s="327"/>
      <c r="S79" s="284" t="str">
        <f>IF(と_希望&lt;&gt;"する","",IF(ISBLANK(と_一級_内数),"",と_一級_内数))</f>
        <v/>
      </c>
      <c r="T79" s="285" t="str">
        <f>IF(ISBLANK(と_評点),"",と_評点)</f>
        <v/>
      </c>
      <c r="U79" s="285" t="str">
        <f>IF(ISBLANK(と_評点),"",と_評点)</f>
        <v/>
      </c>
      <c r="V79" s="285" t="str">
        <f>IF(ISBLANK(と_評点),"",と_評点)</f>
        <v/>
      </c>
      <c r="W79" s="284" t="str">
        <f>IF(と_希望&lt;&gt;"する","",IF(ISBLANK(と_二級_内数),"",と_二級_内数))</f>
        <v/>
      </c>
      <c r="X79" s="285" t="str">
        <f>IF(ISBLANK(と_評点),"",と_評点)</f>
        <v/>
      </c>
      <c r="Y79" s="285" t="str">
        <f>IF(ISBLANK(と_評点),"",と_評点)</f>
        <v/>
      </c>
      <c r="Z79" s="286" t="str">
        <f>IF(ISBLANK(と_評点),"",と_評点)</f>
        <v/>
      </c>
      <c r="AA79" s="328" t="str">
        <f>IF(と_希望&lt;&gt;"する","",IF(ISBLANK(と_評点),"",と_評点))</f>
        <v/>
      </c>
      <c r="AB79" s="329"/>
      <c r="AC79" s="329"/>
      <c r="AD79" s="329"/>
      <c r="AE79" s="329"/>
      <c r="AF79" s="330"/>
      <c r="AG79" s="331" t="str">
        <f>IF(と_希望&lt;&gt;"する","",IF(ISBLANK(と_工事高),"",と_工事高))</f>
        <v/>
      </c>
      <c r="AH79" s="332"/>
      <c r="AI79" s="332"/>
      <c r="AJ79" s="332"/>
      <c r="AK79" s="332"/>
      <c r="AL79" s="332"/>
      <c r="AM79" s="332"/>
      <c r="AN79" s="333"/>
      <c r="AO79" s="334" t="str">
        <f>IF(と_希望&lt;&gt;"する","",""&amp;IF(と_区分="なし","",と_区分))</f>
        <v/>
      </c>
      <c r="AP79" s="335"/>
      <c r="AQ79" s="335"/>
      <c r="AR79" s="336"/>
      <c r="AT79"/>
      <c r="AU79"/>
      <c r="AV79"/>
      <c r="AW79"/>
      <c r="AX79"/>
      <c r="AY79"/>
      <c r="AZ79"/>
      <c r="BA79"/>
      <c r="BB79"/>
      <c r="BC79"/>
    </row>
    <row r="80" spans="1:55" ht="15" customHeight="1">
      <c r="A80"/>
      <c r="B80"/>
      <c r="C80" s="297" t="s">
        <v>173</v>
      </c>
      <c r="D80" s="298"/>
      <c r="E80" s="298"/>
      <c r="F80" s="298"/>
      <c r="G80" s="298"/>
      <c r="H80" s="298"/>
      <c r="I80" s="298"/>
      <c r="J80" s="298"/>
      <c r="K80" s="298"/>
      <c r="L80" s="298"/>
      <c r="M80" s="298"/>
      <c r="N80" s="299"/>
      <c r="O80" s="294" t="str">
        <f>IF(法_希望="する", "〇", "")</f>
        <v/>
      </c>
      <c r="P80" s="295"/>
      <c r="Q80" s="295"/>
      <c r="R80" s="300"/>
      <c r="S80" s="301" t="str">
        <f>IF(法_希望&lt;&gt;"する","",IF(ISBLANK(法_一級_内数),"",法_一級_内数))</f>
        <v/>
      </c>
      <c r="T80" s="302" t="str">
        <f>IF(ISBLANK(法_評点),"",法_評点)</f>
        <v/>
      </c>
      <c r="U80" s="302" t="str">
        <f>IF(ISBLANK(法_評点),"",法_評点)</f>
        <v/>
      </c>
      <c r="V80" s="302" t="str">
        <f>IF(ISBLANK(法_評点),"",法_評点)</f>
        <v/>
      </c>
      <c r="W80" s="301" t="str">
        <f>IF(法_希望&lt;&gt;"する","",IF(ISBLANK(法_二級_内数),"",法_二級_内数))</f>
        <v/>
      </c>
      <c r="X80" s="302" t="str">
        <f>IF(ISBLANK(法_評点),"",法_評点)</f>
        <v/>
      </c>
      <c r="Y80" s="302" t="str">
        <f>IF(ISBLANK(法_評点),"",法_評点)</f>
        <v/>
      </c>
      <c r="Z80" s="303" t="str">
        <f>IF(ISBLANK(法_評点),"",法_評点)</f>
        <v/>
      </c>
      <c r="AA80" s="343" t="str">
        <f>IF(法_希望&lt;&gt;"する","",IF(ISBLANK(法_評点),"",法_評点))</f>
        <v/>
      </c>
      <c r="AB80" s="344"/>
      <c r="AC80" s="344"/>
      <c r="AD80" s="344"/>
      <c r="AE80" s="344"/>
      <c r="AF80" s="345"/>
      <c r="AG80" s="304" t="str">
        <f>IF(法_希望&lt;&gt;"する","",IF(ISBLANK(法_工事高),"",法_工事高))</f>
        <v/>
      </c>
      <c r="AH80" s="305"/>
      <c r="AI80" s="305"/>
      <c r="AJ80" s="305"/>
      <c r="AK80" s="305"/>
      <c r="AL80" s="305"/>
      <c r="AM80" s="305"/>
      <c r="AN80" s="306"/>
      <c r="AO80" s="307"/>
      <c r="AP80" s="308"/>
      <c r="AQ80" s="308"/>
      <c r="AR80" s="309"/>
      <c r="AT80"/>
      <c r="AU80"/>
      <c r="AV80"/>
      <c r="AW80"/>
      <c r="AX80"/>
      <c r="AY80"/>
      <c r="AZ80"/>
      <c r="BA80"/>
      <c r="BB80"/>
      <c r="BC80"/>
    </row>
    <row r="81" spans="1:72" ht="15" customHeight="1">
      <c r="A81"/>
      <c r="B81"/>
      <c r="C81" s="297" t="s">
        <v>174</v>
      </c>
      <c r="D81" s="298"/>
      <c r="E81" s="298"/>
      <c r="F81" s="298"/>
      <c r="G81" s="298"/>
      <c r="H81" s="298"/>
      <c r="I81" s="298"/>
      <c r="J81" s="298"/>
      <c r="K81" s="298"/>
      <c r="L81" s="298"/>
      <c r="M81" s="298"/>
      <c r="N81" s="299"/>
      <c r="O81" s="294" t="str">
        <f>IF(石_希望="する", "〇", "")</f>
        <v/>
      </c>
      <c r="P81" s="295"/>
      <c r="Q81" s="295"/>
      <c r="R81" s="300"/>
      <c r="S81" s="301" t="str">
        <f>IF(石_希望&lt;&gt;"する","",IF(ISBLANK(石_一級_内数),"",石_一級_内数))</f>
        <v/>
      </c>
      <c r="T81" s="302" t="str">
        <f>IF(ISBLANK(石_評点),"",石_評点)</f>
        <v/>
      </c>
      <c r="U81" s="302" t="str">
        <f>IF(ISBLANK(石_評点),"",石_評点)</f>
        <v/>
      </c>
      <c r="V81" s="302" t="str">
        <f>IF(ISBLANK(石_評点),"",石_評点)</f>
        <v/>
      </c>
      <c r="W81" s="301" t="str">
        <f>IF(石_希望&lt;&gt;"する","",IF(ISBLANK(石_二級_内数),"",石_二級_内数))</f>
        <v/>
      </c>
      <c r="X81" s="302" t="str">
        <f>IF(ISBLANK(石_評点),"",石_評点)</f>
        <v/>
      </c>
      <c r="Y81" s="302" t="str">
        <f>IF(ISBLANK(石_評点),"",石_評点)</f>
        <v/>
      </c>
      <c r="Z81" s="303" t="str">
        <f>IF(ISBLANK(石_評点),"",石_評点)</f>
        <v/>
      </c>
      <c r="AA81" s="343" t="str">
        <f>IF(石_希望&lt;&gt;"する","",IF(ISBLANK(石_評点),"",石_評点))</f>
        <v/>
      </c>
      <c r="AB81" s="344"/>
      <c r="AC81" s="344"/>
      <c r="AD81" s="344"/>
      <c r="AE81" s="344"/>
      <c r="AF81" s="345"/>
      <c r="AG81" s="304" t="str">
        <f>IF(石_希望&lt;&gt;"する","",IF(ISBLANK(石_工事高),"",石_工事高))</f>
        <v/>
      </c>
      <c r="AH81" s="305"/>
      <c r="AI81" s="305"/>
      <c r="AJ81" s="305"/>
      <c r="AK81" s="305"/>
      <c r="AL81" s="305"/>
      <c r="AM81" s="305"/>
      <c r="AN81" s="306"/>
      <c r="AO81" s="340" t="str">
        <f>IF(石_希望&lt;&gt;"する","",""&amp;IF(石_区分="なし","",石_区分))</f>
        <v/>
      </c>
      <c r="AP81" s="341"/>
      <c r="AQ81" s="341"/>
      <c r="AR81" s="342"/>
      <c r="AT81"/>
      <c r="AU81"/>
      <c r="AV81"/>
      <c r="AW81"/>
      <c r="AX81"/>
      <c r="AY81"/>
      <c r="AZ81"/>
      <c r="BA81"/>
      <c r="BB81"/>
      <c r="BC81"/>
    </row>
    <row r="82" spans="1:72" ht="15" customHeight="1">
      <c r="A82"/>
      <c r="B82"/>
      <c r="C82" s="297" t="s">
        <v>175</v>
      </c>
      <c r="D82" s="298"/>
      <c r="E82" s="298"/>
      <c r="F82" s="298"/>
      <c r="G82" s="298"/>
      <c r="H82" s="298"/>
      <c r="I82" s="298"/>
      <c r="J82" s="298"/>
      <c r="K82" s="298"/>
      <c r="L82" s="298"/>
      <c r="M82" s="298"/>
      <c r="N82" s="299"/>
      <c r="O82" s="294" t="str">
        <f>IF(屋_希望="する", "〇", "")</f>
        <v/>
      </c>
      <c r="P82" s="295"/>
      <c r="Q82" s="295"/>
      <c r="R82" s="300"/>
      <c r="S82" s="301" t="str">
        <f>IF(屋_希望&lt;&gt;"する","",IF(ISBLANK(屋_一級_内数),"",屋_一級_内数))</f>
        <v/>
      </c>
      <c r="T82" s="302" t="str">
        <f>IF(ISBLANK(屋_評点),"",屋_評点)</f>
        <v/>
      </c>
      <c r="U82" s="302" t="str">
        <f>IF(ISBLANK(屋_評点),"",屋_評点)</f>
        <v/>
      </c>
      <c r="V82" s="302" t="str">
        <f>IF(ISBLANK(屋_評点),"",屋_評点)</f>
        <v/>
      </c>
      <c r="W82" s="301" t="str">
        <f>IF(屋_希望&lt;&gt;"する","",IF(ISBLANK(屋_二級_内数),"",屋_二級_内数))</f>
        <v/>
      </c>
      <c r="X82" s="302" t="str">
        <f>IF(ISBLANK(屋_評点),"",屋_評点)</f>
        <v/>
      </c>
      <c r="Y82" s="302" t="str">
        <f>IF(ISBLANK(屋_評点),"",屋_評点)</f>
        <v/>
      </c>
      <c r="Z82" s="303" t="str">
        <f>IF(ISBLANK(屋_評点),"",屋_評点)</f>
        <v/>
      </c>
      <c r="AA82" s="343" t="str">
        <f>IF(屋_希望&lt;&gt;"する","",IF(ISBLANK(屋_評点),"",屋_評点))</f>
        <v/>
      </c>
      <c r="AB82" s="344"/>
      <c r="AC82" s="344"/>
      <c r="AD82" s="344"/>
      <c r="AE82" s="344"/>
      <c r="AF82" s="345"/>
      <c r="AG82" s="304" t="str">
        <f>IF(屋_希望&lt;&gt;"する","",IF(ISBLANK(屋_工事高),"",屋_工事高))</f>
        <v/>
      </c>
      <c r="AH82" s="305"/>
      <c r="AI82" s="305"/>
      <c r="AJ82" s="305"/>
      <c r="AK82" s="305"/>
      <c r="AL82" s="305"/>
      <c r="AM82" s="305"/>
      <c r="AN82" s="306"/>
      <c r="AO82" s="340" t="str">
        <f>IF(屋_希望&lt;&gt;"する","",""&amp;IF(屋_区分="なし","",屋_区分))</f>
        <v/>
      </c>
      <c r="AP82" s="341"/>
      <c r="AQ82" s="341"/>
      <c r="AR82" s="342"/>
      <c r="AT82"/>
      <c r="AU82"/>
      <c r="AV82"/>
      <c r="AW82"/>
      <c r="AX82"/>
      <c r="AY82"/>
      <c r="AZ82"/>
      <c r="BA82"/>
      <c r="BB82"/>
      <c r="BC82"/>
    </row>
    <row r="83" spans="1:72" ht="15" customHeight="1">
      <c r="A83"/>
      <c r="B83"/>
      <c r="C83" s="268" t="s">
        <v>176</v>
      </c>
      <c r="D83" s="269"/>
      <c r="E83" s="269"/>
      <c r="F83" s="269"/>
      <c r="G83" s="269"/>
      <c r="H83" s="269"/>
      <c r="I83" s="269"/>
      <c r="J83" s="269"/>
      <c r="K83" s="269"/>
      <c r="L83" s="269"/>
      <c r="M83" s="269"/>
      <c r="N83" s="270"/>
      <c r="O83" s="265" t="str">
        <f>IF(電_希望="する", "〇", "")</f>
        <v/>
      </c>
      <c r="P83" s="266"/>
      <c r="Q83" s="266"/>
      <c r="R83" s="271"/>
      <c r="S83" s="272" t="str">
        <f>IF(電_希望&lt;&gt;"する","",IF(ISBLANK(電_一級_内数),"",電_一級_内数))</f>
        <v/>
      </c>
      <c r="T83" s="273" t="str">
        <f>IF(ISBLANK(電_評点),"",電_評点)</f>
        <v/>
      </c>
      <c r="U83" s="273" t="str">
        <f>IF(ISBLANK(電_評点),"",電_評点)</f>
        <v/>
      </c>
      <c r="V83" s="273" t="str">
        <f>IF(ISBLANK(電_評点),"",電_評点)</f>
        <v/>
      </c>
      <c r="W83" s="272" t="str">
        <f>IF(電_希望&lt;&gt;"する","",IF(ISBLANK(電_二級_内数),"",電_二級_内数))</f>
        <v/>
      </c>
      <c r="X83" s="273" t="str">
        <f>IF(ISBLANK(電_評点),"",電_評点)</f>
        <v/>
      </c>
      <c r="Y83" s="273" t="str">
        <f>IF(ISBLANK(電_評点),"",電_評点)</f>
        <v/>
      </c>
      <c r="Z83" s="274" t="str">
        <f>IF(ISBLANK(電_評点),"",電_評点)</f>
        <v/>
      </c>
      <c r="AA83" s="337" t="str">
        <f>IF(電_希望&lt;&gt;"する","",IF(ISBLANK(電_評点),"",電_評点))</f>
        <v/>
      </c>
      <c r="AB83" s="338"/>
      <c r="AC83" s="338"/>
      <c r="AD83" s="338"/>
      <c r="AE83" s="338"/>
      <c r="AF83" s="339"/>
      <c r="AG83" s="275" t="str">
        <f>IF(電_希望&lt;&gt;"する","",IF(ISBLANK(電_工事高),"",電_工事高))</f>
        <v/>
      </c>
      <c r="AH83" s="276"/>
      <c r="AI83" s="276"/>
      <c r="AJ83" s="276"/>
      <c r="AK83" s="276"/>
      <c r="AL83" s="276"/>
      <c r="AM83" s="276"/>
      <c r="AN83" s="277"/>
      <c r="AO83" s="319" t="str">
        <f>IF(電_希望&lt;&gt;"する","",""&amp;IF(電_区分="なし","",電_区分))</f>
        <v/>
      </c>
      <c r="AP83" s="320"/>
      <c r="AQ83" s="320"/>
      <c r="AR83" s="321"/>
      <c r="AT83"/>
      <c r="AU83"/>
      <c r="AV83"/>
      <c r="AW83"/>
      <c r="AX83"/>
      <c r="AY83"/>
      <c r="AZ83"/>
      <c r="BA83"/>
      <c r="BB83"/>
      <c r="BC83"/>
    </row>
    <row r="84" spans="1:72" ht="15" customHeight="1">
      <c r="A84"/>
      <c r="B84"/>
      <c r="C84" s="278" t="s">
        <v>177</v>
      </c>
      <c r="D84" s="279"/>
      <c r="E84" s="279"/>
      <c r="F84" s="279"/>
      <c r="G84" s="279"/>
      <c r="H84" s="279"/>
      <c r="I84" s="279"/>
      <c r="J84" s="279"/>
      <c r="K84" s="279"/>
      <c r="L84" s="279"/>
      <c r="M84" s="279"/>
      <c r="N84" s="280"/>
      <c r="O84" s="281" t="str">
        <f>IF(管_希望="する", "〇", "")</f>
        <v/>
      </c>
      <c r="P84" s="282"/>
      <c r="Q84" s="282"/>
      <c r="R84" s="283"/>
      <c r="S84" s="284" t="str">
        <f>IF(管_希望&lt;&gt;"する","",IF(ISBLANK(管_一級_内数),"",管_一級_内数))</f>
        <v/>
      </c>
      <c r="T84" s="285" t="str">
        <f>IF(ISBLANK(管_評点),"",管_評点)</f>
        <v/>
      </c>
      <c r="U84" s="285" t="str">
        <f>IF(ISBLANK(管_評点),"",管_評点)</f>
        <v/>
      </c>
      <c r="V84" s="285" t="str">
        <f>IF(ISBLANK(管_評点),"",管_評点)</f>
        <v/>
      </c>
      <c r="W84" s="284" t="str">
        <f>IF(管_希望&lt;&gt;"する","",IF(ISBLANK(管_二級_内数),"",管_二級_内数))</f>
        <v/>
      </c>
      <c r="X84" s="285" t="str">
        <f>IF(ISBLANK(管_評点),"",管_評点)</f>
        <v/>
      </c>
      <c r="Y84" s="285" t="str">
        <f>IF(ISBLANK(管_評点),"",管_評点)</f>
        <v/>
      </c>
      <c r="Z84" s="286" t="str">
        <f>IF(ISBLANK(管_評点),"",管_評点)</f>
        <v/>
      </c>
      <c r="AA84" s="349" t="str">
        <f>IF(管_希望&lt;&gt;"する","",IF(ISBLANK(管_評点),"",管_評点))</f>
        <v/>
      </c>
      <c r="AB84" s="350"/>
      <c r="AC84" s="350"/>
      <c r="AD84" s="350"/>
      <c r="AE84" s="350"/>
      <c r="AF84" s="351"/>
      <c r="AG84" s="290" t="str">
        <f>IF(管_希望&lt;&gt;"する","",IF(ISBLANK(管_工事高),"",管_工事高))</f>
        <v/>
      </c>
      <c r="AH84" s="291"/>
      <c r="AI84" s="291"/>
      <c r="AJ84" s="291"/>
      <c r="AK84" s="291"/>
      <c r="AL84" s="291"/>
      <c r="AM84" s="291"/>
      <c r="AN84" s="292"/>
      <c r="AO84" s="346" t="str">
        <f>IF(管_希望&lt;&gt;"する","",""&amp;IF(管_区分="なし","",管_区分))</f>
        <v/>
      </c>
      <c r="AP84" s="347"/>
      <c r="AQ84" s="347"/>
      <c r="AR84" s="348"/>
      <c r="AT84"/>
      <c r="AU84"/>
      <c r="AV84"/>
      <c r="AW84"/>
      <c r="AX84"/>
      <c r="AY84"/>
      <c r="AZ84"/>
      <c r="BA84"/>
      <c r="BB84"/>
      <c r="BC84"/>
    </row>
    <row r="85" spans="1:72" ht="15" customHeight="1">
      <c r="A85"/>
      <c r="B85"/>
      <c r="C85" s="297" t="s">
        <v>178</v>
      </c>
      <c r="D85" s="298"/>
      <c r="E85" s="298"/>
      <c r="F85" s="298"/>
      <c r="G85" s="298"/>
      <c r="H85" s="298"/>
      <c r="I85" s="298"/>
      <c r="J85" s="298"/>
      <c r="K85" s="298"/>
      <c r="L85" s="298"/>
      <c r="M85" s="298"/>
      <c r="N85" s="299"/>
      <c r="O85" s="294" t="str">
        <f>IF(タ_希望="する", "〇", "")</f>
        <v/>
      </c>
      <c r="P85" s="295"/>
      <c r="Q85" s="295"/>
      <c r="R85" s="300"/>
      <c r="S85" s="301" t="str">
        <f>IF(タ_希望&lt;&gt;"する","",IF(ISBLANK(タ_一級_内数),"",タ_一級_内数))</f>
        <v/>
      </c>
      <c r="T85" s="302" t="str">
        <f>IF(ISBLANK(タ_評点),"",タ_評点)</f>
        <v/>
      </c>
      <c r="U85" s="302" t="str">
        <f>IF(ISBLANK(タ_評点),"",タ_評点)</f>
        <v/>
      </c>
      <c r="V85" s="302" t="str">
        <f>IF(ISBLANK(タ_評点),"",タ_評点)</f>
        <v/>
      </c>
      <c r="W85" s="301" t="str">
        <f>IF(タ_希望&lt;&gt;"する","",IF(ISBLANK(タ_二級_内数),"",タ_二級_内数))</f>
        <v/>
      </c>
      <c r="X85" s="302" t="str">
        <f>IF(ISBLANK(タ_評点),"",タ_評点)</f>
        <v/>
      </c>
      <c r="Y85" s="302" t="str">
        <f>IF(ISBLANK(タ_評点),"",タ_評点)</f>
        <v/>
      </c>
      <c r="Z85" s="303" t="str">
        <f>IF(ISBLANK(タ_評点),"",タ_評点)</f>
        <v/>
      </c>
      <c r="AA85" s="343" t="str">
        <f>IF(タ_希望&lt;&gt;"する","",IF(ISBLANK(タ_評点),"",タ_評点))</f>
        <v/>
      </c>
      <c r="AB85" s="344"/>
      <c r="AC85" s="344"/>
      <c r="AD85" s="344"/>
      <c r="AE85" s="344"/>
      <c r="AF85" s="345"/>
      <c r="AG85" s="304" t="str">
        <f>IF(タ_希望&lt;&gt;"する","",IF(ISBLANK(タ_工事高),"",タ_工事高))</f>
        <v/>
      </c>
      <c r="AH85" s="305"/>
      <c r="AI85" s="305"/>
      <c r="AJ85" s="305"/>
      <c r="AK85" s="305"/>
      <c r="AL85" s="305"/>
      <c r="AM85" s="305"/>
      <c r="AN85" s="306"/>
      <c r="AO85" s="340" t="str">
        <f>IF(タ_希望&lt;&gt;"する","",""&amp;IF(タ_区分="なし","",タ_区分))</f>
        <v/>
      </c>
      <c r="AP85" s="341"/>
      <c r="AQ85" s="341"/>
      <c r="AR85" s="342"/>
      <c r="AT85"/>
      <c r="AU85"/>
      <c r="AV85"/>
      <c r="AW85"/>
      <c r="AX85"/>
      <c r="AY85"/>
      <c r="AZ85"/>
      <c r="BA85"/>
      <c r="BB85"/>
      <c r="BC85"/>
    </row>
    <row r="86" spans="1:72" ht="15" customHeight="1">
      <c r="A86"/>
      <c r="B86"/>
      <c r="C86" s="297" t="s">
        <v>179</v>
      </c>
      <c r="D86" s="298"/>
      <c r="E86" s="298"/>
      <c r="F86" s="298"/>
      <c r="G86" s="298"/>
      <c r="H86" s="298"/>
      <c r="I86" s="298"/>
      <c r="J86" s="298"/>
      <c r="K86" s="298"/>
      <c r="L86" s="298"/>
      <c r="M86" s="298"/>
      <c r="N86" s="299"/>
      <c r="O86" s="294" t="str">
        <f>IF(鋼_希望="する", "〇", "")</f>
        <v/>
      </c>
      <c r="P86" s="295"/>
      <c r="Q86" s="295"/>
      <c r="R86" s="300"/>
      <c r="S86" s="301" t="str">
        <f>IF(鋼_希望&lt;&gt;"する","",IF(ISBLANK(鋼_一級_内数),"",鋼_一級_内数))</f>
        <v/>
      </c>
      <c r="T86" s="302" t="str">
        <f>IF(ISBLANK(鋼_評点),"",鋼_評点)</f>
        <v/>
      </c>
      <c r="U86" s="302" t="str">
        <f>IF(ISBLANK(鋼_評点),"",鋼_評点)</f>
        <v/>
      </c>
      <c r="V86" s="302" t="str">
        <f>IF(ISBLANK(鋼_評点),"",鋼_評点)</f>
        <v/>
      </c>
      <c r="W86" s="301" t="str">
        <f>IF(鋼_希望&lt;&gt;"する","",IF(ISBLANK(鋼_二級_内数),"",鋼_二級_内数))</f>
        <v/>
      </c>
      <c r="X86" s="302" t="str">
        <f>IF(ISBLANK(鋼_評点),"",鋼_評点)</f>
        <v/>
      </c>
      <c r="Y86" s="302" t="str">
        <f>IF(ISBLANK(鋼_評点),"",鋼_評点)</f>
        <v/>
      </c>
      <c r="Z86" s="303" t="str">
        <f>IF(ISBLANK(鋼_評点),"",鋼_評点)</f>
        <v/>
      </c>
      <c r="AA86" s="343" t="str">
        <f>IF(鋼_希望&lt;&gt;"する","",IF(ISBLANK(鋼_評点),"",鋼_評点))</f>
        <v/>
      </c>
      <c r="AB86" s="344"/>
      <c r="AC86" s="344"/>
      <c r="AD86" s="344"/>
      <c r="AE86" s="344"/>
      <c r="AF86" s="345"/>
      <c r="AG86" s="304" t="str">
        <f>IF(鋼_希望&lt;&gt;"する","",IF(ISBLANK(鋼_工事高),"",鋼_工事高))</f>
        <v/>
      </c>
      <c r="AH86" s="305"/>
      <c r="AI86" s="305"/>
      <c r="AJ86" s="305"/>
      <c r="AK86" s="305"/>
      <c r="AL86" s="305"/>
      <c r="AM86" s="305"/>
      <c r="AN86" s="306"/>
      <c r="AO86" s="340" t="str">
        <f>IF(鋼_希望&lt;&gt;"する", "","" &amp; IF(鋼_区分="なし","", 鋼_区分))</f>
        <v/>
      </c>
      <c r="AP86" s="341"/>
      <c r="AQ86" s="341"/>
      <c r="AR86" s="342"/>
      <c r="AT86"/>
      <c r="AU86"/>
      <c r="AV86"/>
      <c r="AW86"/>
      <c r="AX86"/>
      <c r="AY86"/>
      <c r="AZ86"/>
      <c r="BA86"/>
      <c r="BB86"/>
      <c r="BC86"/>
    </row>
    <row r="87" spans="1:72" ht="15" customHeight="1">
      <c r="A87"/>
      <c r="B87"/>
      <c r="C87" s="297" t="s">
        <v>180</v>
      </c>
      <c r="D87" s="298"/>
      <c r="E87" s="298"/>
      <c r="F87" s="298"/>
      <c r="G87" s="298"/>
      <c r="H87" s="298"/>
      <c r="I87" s="298"/>
      <c r="J87" s="298"/>
      <c r="K87" s="298"/>
      <c r="L87" s="298"/>
      <c r="M87" s="298"/>
      <c r="N87" s="299"/>
      <c r="O87" s="294" t="str">
        <f>IF(橋_希望="する", "〇", "")</f>
        <v/>
      </c>
      <c r="P87" s="295"/>
      <c r="Q87" s="295"/>
      <c r="R87" s="300"/>
      <c r="S87" s="301" t="str">
        <f>IF(橋_希望&lt;&gt;"する","",IF(ISBLANK(橋_一級_内数),"",橋_一級_内数))</f>
        <v/>
      </c>
      <c r="T87" s="302" t="str">
        <f>IF(ISBLANK(橋_評点),"",橋_評点)</f>
        <v/>
      </c>
      <c r="U87" s="302" t="str">
        <f>IF(ISBLANK(橋_評点),"",橋_評点)</f>
        <v/>
      </c>
      <c r="V87" s="302" t="str">
        <f>IF(ISBLANK(橋_評点),"",橋_評点)</f>
        <v/>
      </c>
      <c r="W87" s="301" t="str">
        <f>IF(橋_希望&lt;&gt;"する","",IF(ISBLANK(橋_二級_内数),"",橋_二級_内数))</f>
        <v/>
      </c>
      <c r="X87" s="302" t="str">
        <f>IF(ISBLANK(橋_評点),"",橋_評点)</f>
        <v/>
      </c>
      <c r="Y87" s="302" t="str">
        <f>IF(ISBLANK(橋_評点),"",橋_評点)</f>
        <v/>
      </c>
      <c r="Z87" s="303" t="str">
        <f>IF(ISBLANK(橋_評点),"",橋_評点)</f>
        <v/>
      </c>
      <c r="AA87" s="343" t="str">
        <f>IF(橋_希望&lt;&gt;"する","",IF(ISBLANK(橋_評点),"",橋_評点))</f>
        <v/>
      </c>
      <c r="AB87" s="344"/>
      <c r="AC87" s="344"/>
      <c r="AD87" s="344"/>
      <c r="AE87" s="344"/>
      <c r="AF87" s="345"/>
      <c r="AG87" s="304" t="str">
        <f>IF(橋_希望&lt;&gt;"する","",IF(ISBLANK(橋_工事高),"",橋_工事高))</f>
        <v/>
      </c>
      <c r="AH87" s="305"/>
      <c r="AI87" s="305"/>
      <c r="AJ87" s="305"/>
      <c r="AK87" s="305"/>
      <c r="AL87" s="305"/>
      <c r="AM87" s="305"/>
      <c r="AN87" s="306"/>
      <c r="AO87" s="307"/>
      <c r="AP87" s="308"/>
      <c r="AQ87" s="308"/>
      <c r="AR87" s="309"/>
      <c r="AT87"/>
      <c r="AU87"/>
      <c r="AV87"/>
      <c r="AW87"/>
      <c r="AX87"/>
      <c r="AY87"/>
      <c r="AZ87"/>
      <c r="BA87"/>
      <c r="BB87"/>
      <c r="BC87"/>
    </row>
    <row r="88" spans="1:72" ht="15" customHeight="1">
      <c r="A88"/>
      <c r="B88"/>
      <c r="C88" s="268" t="s">
        <v>181</v>
      </c>
      <c r="D88" s="269"/>
      <c r="E88" s="269"/>
      <c r="F88" s="269"/>
      <c r="G88" s="269"/>
      <c r="H88" s="269"/>
      <c r="I88" s="269"/>
      <c r="J88" s="269"/>
      <c r="K88" s="269"/>
      <c r="L88" s="269"/>
      <c r="M88" s="269"/>
      <c r="N88" s="270"/>
      <c r="O88" s="265" t="str">
        <f>IF(鉄_希望="する", "〇", "")</f>
        <v/>
      </c>
      <c r="P88" s="266"/>
      <c r="Q88" s="266"/>
      <c r="R88" s="271"/>
      <c r="S88" s="272" t="str">
        <f>IF(鉄_希望&lt;&gt;"する","",IF(ISBLANK(鉄_一級_内数),"",鉄_一級_内数))</f>
        <v/>
      </c>
      <c r="T88" s="273" t="str">
        <f>IF(ISBLANK(鉄_評点),"",鉄_評点)</f>
        <v/>
      </c>
      <c r="U88" s="273" t="str">
        <f>IF(ISBLANK(鉄_評点),"",鉄_評点)</f>
        <v/>
      </c>
      <c r="V88" s="273" t="str">
        <f>IF(ISBLANK(鉄_評点),"",鉄_評点)</f>
        <v/>
      </c>
      <c r="W88" s="272" t="str">
        <f>IF(鉄_希望&lt;&gt;"する","",IF(ISBLANK(鉄_二級_内数),"",鉄_二級_内数))</f>
        <v/>
      </c>
      <c r="X88" s="273" t="str">
        <f>IF(ISBLANK(鉄_評点),"",鉄_評点)</f>
        <v/>
      </c>
      <c r="Y88" s="273" t="str">
        <f>IF(ISBLANK(鉄_評点),"",鉄_評点)</f>
        <v/>
      </c>
      <c r="Z88" s="274" t="str">
        <f>IF(ISBLANK(鉄_評点),"",鉄_評点)</f>
        <v/>
      </c>
      <c r="AA88" s="337" t="str">
        <f>IF(鉄_希望&lt;&gt;"する","",IF(ISBLANK(鉄_評点),"",鉄_評点))</f>
        <v/>
      </c>
      <c r="AB88" s="338"/>
      <c r="AC88" s="338"/>
      <c r="AD88" s="338"/>
      <c r="AE88" s="338"/>
      <c r="AF88" s="339"/>
      <c r="AG88" s="275" t="str">
        <f>IF(鉄_希望&lt;&gt;"する","",IF(ISBLANK(鉄_工事高),"",鉄_工事高))</f>
        <v/>
      </c>
      <c r="AH88" s="276"/>
      <c r="AI88" s="276"/>
      <c r="AJ88" s="276"/>
      <c r="AK88" s="276"/>
      <c r="AL88" s="276"/>
      <c r="AM88" s="276"/>
      <c r="AN88" s="277"/>
      <c r="AO88" s="319" t="str">
        <f>IF(鉄_希望&lt;&gt;"する", "", "" &amp; IF(鉄_区分="なし","", 鉄_区分))</f>
        <v/>
      </c>
      <c r="AP88" s="320"/>
      <c r="AQ88" s="320"/>
      <c r="AR88" s="321"/>
      <c r="AT88"/>
      <c r="AU88"/>
      <c r="AV88"/>
      <c r="AW88"/>
      <c r="AX88"/>
      <c r="AY88"/>
      <c r="AZ88"/>
      <c r="BA88"/>
      <c r="BB88"/>
      <c r="BC88"/>
    </row>
    <row r="89" spans="1:72" ht="15" customHeight="1">
      <c r="A89"/>
      <c r="B89"/>
      <c r="C89" s="322" t="s">
        <v>182</v>
      </c>
      <c r="D89" s="323"/>
      <c r="E89" s="323"/>
      <c r="F89" s="323"/>
      <c r="G89" s="323"/>
      <c r="H89" s="323"/>
      <c r="I89" s="323"/>
      <c r="J89" s="323"/>
      <c r="K89" s="323"/>
      <c r="L89" s="323"/>
      <c r="M89" s="323"/>
      <c r="N89" s="324"/>
      <c r="O89" s="325" t="str">
        <f>IF(ほ_希望="する", "〇", "")</f>
        <v/>
      </c>
      <c r="P89" s="326"/>
      <c r="Q89" s="326"/>
      <c r="R89" s="327"/>
      <c r="S89" s="284" t="str">
        <f>IF(ほ_希望&lt;&gt;"する","",IF(ISBLANK(ほ_一級_内数),"",ほ_一級_内数))</f>
        <v/>
      </c>
      <c r="T89" s="285" t="str">
        <f>IF(ISBLANK(ほ_評点),"",ほ_評点)</f>
        <v/>
      </c>
      <c r="U89" s="285" t="str">
        <f>IF(ISBLANK(ほ_評点),"",ほ_評点)</f>
        <v/>
      </c>
      <c r="V89" s="285" t="str">
        <f>IF(ISBLANK(ほ_評点),"",ほ_評点)</f>
        <v/>
      </c>
      <c r="W89" s="284" t="str">
        <f>IF(ほ_希望&lt;&gt;"する","",IF(ISBLANK(ほ_二級_内数),"",ほ_二級_内数))</f>
        <v/>
      </c>
      <c r="X89" s="285" t="str">
        <f>IF(ISBLANK(ほ_評点),"",ほ_評点)</f>
        <v/>
      </c>
      <c r="Y89" s="285" t="str">
        <f>IF(ISBLANK(ほ_評点),"",ほ_評点)</f>
        <v/>
      </c>
      <c r="Z89" s="286" t="str">
        <f>IF(ISBLANK(ほ_評点),"",ほ_評点)</f>
        <v/>
      </c>
      <c r="AA89" s="328" t="str">
        <f>IF(ほ_希望&lt;&gt;"する","",IF(ISBLANK(ほ_評点),"",ほ_評点))</f>
        <v/>
      </c>
      <c r="AB89" s="329"/>
      <c r="AC89" s="329"/>
      <c r="AD89" s="329"/>
      <c r="AE89" s="329"/>
      <c r="AF89" s="330"/>
      <c r="AG89" s="331" t="str">
        <f>IF(ほ_希望&lt;&gt;"する","",IF(ISBLANK(ほ_工事高),"",ほ_工事高))</f>
        <v/>
      </c>
      <c r="AH89" s="332"/>
      <c r="AI89" s="332"/>
      <c r="AJ89" s="332"/>
      <c r="AK89" s="332"/>
      <c r="AL89" s="332"/>
      <c r="AM89" s="332"/>
      <c r="AN89" s="333"/>
      <c r="AO89" s="334" t="str">
        <f>IF(ほ_希望&lt;&gt;"する","",""&amp;IF(ほ_区分="なし","",ほ_区分))</f>
        <v/>
      </c>
      <c r="AP89" s="335"/>
      <c r="AQ89" s="335"/>
      <c r="AR89" s="336"/>
      <c r="AT89"/>
      <c r="AU89"/>
      <c r="AV89"/>
      <c r="AW89"/>
      <c r="AX89"/>
      <c r="AY89"/>
      <c r="AZ89"/>
      <c r="BA89"/>
      <c r="BB89"/>
      <c r="BC89"/>
    </row>
    <row r="90" spans="1:72" ht="15" customHeight="1">
      <c r="A90"/>
      <c r="B90"/>
      <c r="C90" s="98"/>
      <c r="D90" s="99"/>
      <c r="E90" s="298" t="s">
        <v>183</v>
      </c>
      <c r="F90" s="298"/>
      <c r="G90" s="298"/>
      <c r="H90" s="298"/>
      <c r="I90" s="298"/>
      <c r="J90" s="298"/>
      <c r="K90" s="298"/>
      <c r="L90" s="298"/>
      <c r="M90" s="298"/>
      <c r="N90" s="299"/>
      <c r="O90" s="310"/>
      <c r="P90" s="311"/>
      <c r="Q90" s="311"/>
      <c r="R90" s="312"/>
      <c r="S90" s="301" t="str">
        <f xml:space="preserve"> IF(ISBLANK(資格_舗施管_一級),"",資格_舗施管_一級)</f>
        <v/>
      </c>
      <c r="T90" s="302"/>
      <c r="U90" s="302"/>
      <c r="V90" s="302"/>
      <c r="W90" s="301" t="str">
        <f>IF(ISBLANK(資格_舗施管_二級),"",資格_舗施管_二級)</f>
        <v/>
      </c>
      <c r="X90" s="302"/>
      <c r="Y90" s="302"/>
      <c r="Z90" s="303"/>
      <c r="AA90" s="313"/>
      <c r="AB90" s="314"/>
      <c r="AC90" s="314"/>
      <c r="AD90" s="314"/>
      <c r="AE90" s="314"/>
      <c r="AF90" s="315"/>
      <c r="AG90" s="316"/>
      <c r="AH90" s="317"/>
      <c r="AI90" s="317"/>
      <c r="AJ90" s="317"/>
      <c r="AK90" s="317"/>
      <c r="AL90" s="317"/>
      <c r="AM90" s="317"/>
      <c r="AN90" s="318"/>
      <c r="AO90" s="307"/>
      <c r="AP90" s="308"/>
      <c r="AQ90" s="308"/>
      <c r="AR90" s="309"/>
      <c r="AT90"/>
      <c r="AU90"/>
      <c r="AV90"/>
      <c r="AW90"/>
      <c r="AX90"/>
      <c r="AY90"/>
      <c r="AZ90"/>
      <c r="BA90"/>
      <c r="BB90"/>
      <c r="BC90"/>
    </row>
    <row r="91" spans="1:72">
      <c r="A91"/>
      <c r="B91"/>
      <c r="C91" s="278" t="s">
        <v>184</v>
      </c>
      <c r="D91" s="279"/>
      <c r="E91" s="279"/>
      <c r="F91" s="279"/>
      <c r="G91" s="279"/>
      <c r="H91" s="279"/>
      <c r="I91" s="279"/>
      <c r="J91" s="279"/>
      <c r="K91" s="279"/>
      <c r="L91" s="279"/>
      <c r="M91" s="279"/>
      <c r="N91" s="280"/>
      <c r="O91" s="281" t="str">
        <f>IF(し_希望="する", "〇", "")</f>
        <v/>
      </c>
      <c r="P91" s="282"/>
      <c r="Q91" s="282"/>
      <c r="R91" s="283"/>
      <c r="S91" s="301" t="str">
        <f>IF(し_希望&lt;&gt;"する","",IF(ISBLANK(し_一級_内数),"",し_一級_内数))</f>
        <v/>
      </c>
      <c r="T91" s="302" t="str">
        <f>IF(ISBLANK(し_評点),"",し_評点)</f>
        <v/>
      </c>
      <c r="U91" s="302" t="str">
        <f>IF(ISBLANK(し_評点),"",し_評点)</f>
        <v/>
      </c>
      <c r="V91" s="302" t="str">
        <f>IF(ISBLANK(し_評点),"",し_評点)</f>
        <v/>
      </c>
      <c r="W91" s="301" t="str">
        <f>IF(し_希望&lt;&gt;"する","",IF(ISBLANK(し_二級_内数),"",し_二級_内数))</f>
        <v/>
      </c>
      <c r="X91" s="302" t="str">
        <f>IF(ISBLANK(し_評点),"",し_評点)</f>
        <v/>
      </c>
      <c r="Y91" s="302" t="str">
        <f>IF(ISBLANK(し_評点),"",し_評点)</f>
        <v/>
      </c>
      <c r="Z91" s="303" t="str">
        <f>IF(ISBLANK(し_評点),"",し_評点)</f>
        <v/>
      </c>
      <c r="AA91" s="287" t="str">
        <f>IF(し_希望&lt;&gt;"する","",IF(ISBLANK(し_評点),"",し_評点))</f>
        <v/>
      </c>
      <c r="AB91" s="288"/>
      <c r="AC91" s="288"/>
      <c r="AD91" s="288"/>
      <c r="AE91" s="288"/>
      <c r="AF91" s="289"/>
      <c r="AG91" s="290" t="str">
        <f>IF(し_希望&lt;&gt;"する","",IF(ISBLANK(し_工事高),"",し_工事高))</f>
        <v/>
      </c>
      <c r="AH91" s="291"/>
      <c r="AI91" s="291"/>
      <c r="AJ91" s="291"/>
      <c r="AK91" s="291"/>
      <c r="AL91" s="291"/>
      <c r="AM91" s="291"/>
      <c r="AN91" s="292"/>
      <c r="AO91" s="281" t="str">
        <f>IF(し_希望&lt;&gt;"する","",""&amp;IF(し_区分="なし","",し_区分))</f>
        <v/>
      </c>
      <c r="AP91" s="282"/>
      <c r="AQ91" s="282"/>
      <c r="AR91" s="293"/>
      <c r="BD91" s="96"/>
      <c r="BE91" s="96"/>
      <c r="BF91" s="96"/>
      <c r="BG91" s="96"/>
      <c r="BH91" s="96"/>
      <c r="BI91" s="96"/>
      <c r="BJ91" s="96"/>
      <c r="BK91" s="96"/>
      <c r="BL91" s="96"/>
      <c r="BM91" s="96"/>
      <c r="BN91" s="96"/>
      <c r="BO91" s="96"/>
      <c r="BP91" s="96"/>
      <c r="BQ91" s="96"/>
      <c r="BR91" s="96"/>
      <c r="BS91" s="96"/>
      <c r="BT91" s="96"/>
    </row>
    <row r="92" spans="1:72">
      <c r="A92"/>
      <c r="B92"/>
      <c r="C92" s="297" t="s">
        <v>185</v>
      </c>
      <c r="D92" s="298"/>
      <c r="E92" s="298"/>
      <c r="F92" s="298"/>
      <c r="G92" s="298"/>
      <c r="H92" s="298"/>
      <c r="I92" s="298"/>
      <c r="J92" s="298"/>
      <c r="K92" s="298"/>
      <c r="L92" s="298"/>
      <c r="M92" s="298"/>
      <c r="N92" s="299"/>
      <c r="O92" s="294" t="str">
        <f>IF(板_希望="する", "〇", "")</f>
        <v/>
      </c>
      <c r="P92" s="295"/>
      <c r="Q92" s="295"/>
      <c r="R92" s="300"/>
      <c r="S92" s="301" t="str">
        <f>IF(板_希望&lt;&gt;"する","",IF(ISBLANK(板_一級_内数),"",板_一級_内数))</f>
        <v/>
      </c>
      <c r="T92" s="302" t="str">
        <f>IF(ISBLANK(板_評点),"",板_評点)</f>
        <v/>
      </c>
      <c r="U92" s="302" t="str">
        <f>IF(ISBLANK(板_評点),"",板_評点)</f>
        <v/>
      </c>
      <c r="V92" s="302" t="str">
        <f>IF(ISBLANK(板_評点),"",板_評点)</f>
        <v/>
      </c>
      <c r="W92" s="301" t="str">
        <f>IF(板_希望&lt;&gt;"する","",IF(ISBLANK(板_二級_内数),"",板_二級_内数))</f>
        <v/>
      </c>
      <c r="X92" s="302" t="str">
        <f>IF(ISBLANK(板_評点),"",板_評点)</f>
        <v/>
      </c>
      <c r="Y92" s="302" t="str">
        <f>IF(ISBLANK(板_評点),"",板_評点)</f>
        <v/>
      </c>
      <c r="Z92" s="303" t="str">
        <f>IF(ISBLANK(板_評点),"",板_評点)</f>
        <v/>
      </c>
      <c r="AA92" s="301" t="str">
        <f>IF(板_希望&lt;&gt;"する","",IF(ISBLANK(板_評点),"",板_評点))</f>
        <v/>
      </c>
      <c r="AB92" s="302"/>
      <c r="AC92" s="302"/>
      <c r="AD92" s="302"/>
      <c r="AE92" s="302"/>
      <c r="AF92" s="303"/>
      <c r="AG92" s="304" t="str">
        <f>IF(板_希望&lt;&gt;"する","",IF(ISBLANK(板_工事高),"",板_工事高))</f>
        <v/>
      </c>
      <c r="AH92" s="305"/>
      <c r="AI92" s="305"/>
      <c r="AJ92" s="305"/>
      <c r="AK92" s="305"/>
      <c r="AL92" s="305"/>
      <c r="AM92" s="305"/>
      <c r="AN92" s="306"/>
      <c r="AO92" s="294" t="str">
        <f>IF(板_希望&lt;&gt;"する","",""&amp;IF(板_区分="なし","",板_区分))</f>
        <v/>
      </c>
      <c r="AP92" s="295"/>
      <c r="AQ92" s="295"/>
      <c r="AR92" s="296"/>
      <c r="BD92" s="96"/>
      <c r="BE92" s="96"/>
      <c r="BF92" s="96"/>
      <c r="BG92" s="96"/>
      <c r="BH92" s="96"/>
      <c r="BI92" s="96"/>
      <c r="BJ92" s="96"/>
      <c r="BK92" s="96"/>
      <c r="BL92" s="96"/>
      <c r="BM92" s="96"/>
      <c r="BN92" s="96"/>
      <c r="BO92" s="96"/>
      <c r="BP92" s="96"/>
      <c r="BQ92" s="96"/>
      <c r="BR92" s="96"/>
      <c r="BS92" s="96"/>
      <c r="BT92" s="96"/>
    </row>
    <row r="93" spans="1:72">
      <c r="A93"/>
      <c r="B93"/>
      <c r="C93" s="297" t="s">
        <v>24</v>
      </c>
      <c r="D93" s="298"/>
      <c r="E93" s="298"/>
      <c r="F93" s="298"/>
      <c r="G93" s="298"/>
      <c r="H93" s="298"/>
      <c r="I93" s="298"/>
      <c r="J93" s="298"/>
      <c r="K93" s="298"/>
      <c r="L93" s="298"/>
      <c r="M93" s="298"/>
      <c r="N93" s="299"/>
      <c r="O93" s="294" t="str">
        <f>IF(ガ_希望="する", "〇", "")</f>
        <v/>
      </c>
      <c r="P93" s="295"/>
      <c r="Q93" s="295"/>
      <c r="R93" s="300"/>
      <c r="S93" s="301" t="str">
        <f>IF(ガ_希望&lt;&gt;"する","",IF(ISBLANK(ガ_一級_内数),"",ガ_一級_内数))</f>
        <v/>
      </c>
      <c r="T93" s="302" t="str">
        <f>IF(ISBLANK(ガ_評点),"",ガ_評点)</f>
        <v/>
      </c>
      <c r="U93" s="302" t="str">
        <f>IF(ISBLANK(ガ_評点),"",ガ_評点)</f>
        <v/>
      </c>
      <c r="V93" s="302" t="str">
        <f>IF(ISBLANK(ガ_評点),"",ガ_評点)</f>
        <v/>
      </c>
      <c r="W93" s="301" t="str">
        <f>IF(ガ_希望&lt;&gt;"する","",IF(ISBLANK(ガ_二級_内数),"",ガ_二級_内数))</f>
        <v/>
      </c>
      <c r="X93" s="302" t="str">
        <f>IF(ISBLANK(ガ_評点),"",ガ_評点)</f>
        <v/>
      </c>
      <c r="Y93" s="302" t="str">
        <f>IF(ISBLANK(ガ_評点),"",ガ_評点)</f>
        <v/>
      </c>
      <c r="Z93" s="303" t="str">
        <f>IF(ISBLANK(ガ_評点),"",ガ_評点)</f>
        <v/>
      </c>
      <c r="AA93" s="301" t="str">
        <f>IF(ガ_希望&lt;&gt;"する","",IF(ISBLANK(ガ_評点),"",ガ_評点))</f>
        <v/>
      </c>
      <c r="AB93" s="302"/>
      <c r="AC93" s="302"/>
      <c r="AD93" s="302"/>
      <c r="AE93" s="302"/>
      <c r="AF93" s="303"/>
      <c r="AG93" s="304" t="str">
        <f>IF(ガ_希望&lt;&gt;"する","",IF(ISBLANK(ガ_工事高),"",ガ_工事高))</f>
        <v/>
      </c>
      <c r="AH93" s="305"/>
      <c r="AI93" s="305"/>
      <c r="AJ93" s="305"/>
      <c r="AK93" s="305"/>
      <c r="AL93" s="305"/>
      <c r="AM93" s="305"/>
      <c r="AN93" s="306"/>
      <c r="AO93" s="294" t="str">
        <f>IF(ガ_希望&lt;&gt;"する","", ""&amp;IF(ガ_区分="なし","",ガ_区分))</f>
        <v/>
      </c>
      <c r="AP93" s="295"/>
      <c r="AQ93" s="295"/>
      <c r="AR93" s="296"/>
      <c r="BD93" s="96"/>
      <c r="BE93" s="96"/>
      <c r="BF93" s="96"/>
      <c r="BG93" s="96"/>
      <c r="BH93" s="96"/>
      <c r="BI93" s="96"/>
      <c r="BJ93" s="96"/>
      <c r="BK93" s="96"/>
      <c r="BL93" s="96"/>
      <c r="BM93" s="96"/>
      <c r="BN93" s="96"/>
      <c r="BO93" s="96"/>
      <c r="BP93" s="96"/>
      <c r="BQ93" s="96"/>
      <c r="BR93" s="96"/>
      <c r="BS93" s="96"/>
      <c r="BT93" s="96"/>
    </row>
    <row r="94" spans="1:72">
      <c r="A94"/>
      <c r="B94"/>
      <c r="C94" s="268" t="s">
        <v>25</v>
      </c>
      <c r="D94" s="269"/>
      <c r="E94" s="269"/>
      <c r="F94" s="269"/>
      <c r="G94" s="269"/>
      <c r="H94" s="269"/>
      <c r="I94" s="269"/>
      <c r="J94" s="269"/>
      <c r="K94" s="269"/>
      <c r="L94" s="269"/>
      <c r="M94" s="269"/>
      <c r="N94" s="270"/>
      <c r="O94" s="265" t="str">
        <f>IF(塗_希望="する", "〇", "")</f>
        <v/>
      </c>
      <c r="P94" s="266"/>
      <c r="Q94" s="266"/>
      <c r="R94" s="271"/>
      <c r="S94" s="272" t="str">
        <f>IF(塗_希望&lt;&gt;"する","",IF(ISBLANK(塗_一級_内数),"",塗_一級_内数))</f>
        <v/>
      </c>
      <c r="T94" s="273" t="str">
        <f>IF(ISBLANK(塗_評点),"",塗_評点)</f>
        <v/>
      </c>
      <c r="U94" s="273" t="str">
        <f>IF(ISBLANK(塗_評点),"",塗_評点)</f>
        <v/>
      </c>
      <c r="V94" s="273" t="str">
        <f>IF(ISBLANK(塗_評点),"",塗_評点)</f>
        <v/>
      </c>
      <c r="W94" s="272" t="str">
        <f>IF(塗_希望&lt;&gt;"する","",IF(ISBLANK(塗_二級_内数),"",塗_二級_内数))</f>
        <v/>
      </c>
      <c r="X94" s="273" t="str">
        <f>IF(ISBLANK(塗_評点),"",塗_評点)</f>
        <v/>
      </c>
      <c r="Y94" s="273" t="str">
        <f>IF(ISBLANK(塗_評点),"",塗_評点)</f>
        <v/>
      </c>
      <c r="Z94" s="274" t="str">
        <f>IF(ISBLANK(塗_評点),"",塗_評点)</f>
        <v/>
      </c>
      <c r="AA94" s="272" t="str">
        <f>IF(塗_希望&lt;&gt;"する","",IF(ISBLANK(塗_評点),"",塗_評点))</f>
        <v/>
      </c>
      <c r="AB94" s="273"/>
      <c r="AC94" s="273"/>
      <c r="AD94" s="273"/>
      <c r="AE94" s="273"/>
      <c r="AF94" s="274"/>
      <c r="AG94" s="275" t="str">
        <f>IF(塗_希望&lt;&gt;"する","",IF(ISBLANK(塗_工事高),"",塗_工事高))</f>
        <v/>
      </c>
      <c r="AH94" s="276"/>
      <c r="AI94" s="276"/>
      <c r="AJ94" s="276"/>
      <c r="AK94" s="276"/>
      <c r="AL94" s="276"/>
      <c r="AM94" s="276"/>
      <c r="AN94" s="277"/>
      <c r="AO94" s="265" t="str">
        <f>IF(塗_希望&lt;&gt;"する","",""&amp;IF(塗_区分="なし","",塗_区分))</f>
        <v/>
      </c>
      <c r="AP94" s="266"/>
      <c r="AQ94" s="266"/>
      <c r="AR94" s="267"/>
      <c r="BD94" s="96"/>
      <c r="BE94" s="96"/>
      <c r="BF94" s="96"/>
      <c r="BG94" s="96"/>
      <c r="BH94" s="96"/>
      <c r="BI94" s="96"/>
      <c r="BJ94" s="96"/>
      <c r="BK94" s="96"/>
      <c r="BL94" s="96"/>
      <c r="BM94" s="96"/>
      <c r="BN94" s="96"/>
      <c r="BO94" s="96"/>
      <c r="BP94" s="96"/>
      <c r="BQ94" s="96"/>
      <c r="BR94" s="96"/>
      <c r="BS94" s="96"/>
      <c r="BT94" s="96"/>
    </row>
    <row r="95" spans="1:72">
      <c r="A95"/>
      <c r="B95"/>
      <c r="C95" s="278" t="s">
        <v>26</v>
      </c>
      <c r="D95" s="279"/>
      <c r="E95" s="279"/>
      <c r="F95" s="279"/>
      <c r="G95" s="279"/>
      <c r="H95" s="279"/>
      <c r="I95" s="279"/>
      <c r="J95" s="279"/>
      <c r="K95" s="279"/>
      <c r="L95" s="279"/>
      <c r="M95" s="279"/>
      <c r="N95" s="280"/>
      <c r="O95" s="281" t="str">
        <f>IF(防_希望="する", "〇", "")</f>
        <v/>
      </c>
      <c r="P95" s="282"/>
      <c r="Q95" s="282"/>
      <c r="R95" s="283"/>
      <c r="S95" s="284" t="str">
        <f>IF(防_希望&lt;&gt;"する","",IF(ISBLANK(防_一級_内数),"",防_一級_内数))</f>
        <v/>
      </c>
      <c r="T95" s="285" t="str">
        <f>IF(ISBLANK(防_評点),"",防_評点)</f>
        <v/>
      </c>
      <c r="U95" s="285" t="str">
        <f>IF(ISBLANK(防_評点),"",防_評点)</f>
        <v/>
      </c>
      <c r="V95" s="285" t="str">
        <f>IF(ISBLANK(防_評点),"",防_評点)</f>
        <v/>
      </c>
      <c r="W95" s="284" t="str">
        <f>IF(防_希望&lt;&gt;"する","",IF(ISBLANK(防_二級_内数),"",防_二級_内数))</f>
        <v/>
      </c>
      <c r="X95" s="285" t="str">
        <f>IF(ISBLANK(防_評点),"",防_評点)</f>
        <v/>
      </c>
      <c r="Y95" s="285" t="str">
        <f>IF(ISBLANK(防_評点),"",防_評点)</f>
        <v/>
      </c>
      <c r="Z95" s="286" t="str">
        <f>IF(ISBLANK(防_評点),"",防_評点)</f>
        <v/>
      </c>
      <c r="AA95" s="287" t="str">
        <f>IF(防_希望&lt;&gt;"する","",IF(ISBLANK(防_評点),"",防_評点))</f>
        <v/>
      </c>
      <c r="AB95" s="288"/>
      <c r="AC95" s="288"/>
      <c r="AD95" s="288"/>
      <c r="AE95" s="288"/>
      <c r="AF95" s="289"/>
      <c r="AG95" s="290" t="str">
        <f>IF(防_希望&lt;&gt;"する","",IF(ISBLANK(防_工事高),"",防_工事高))</f>
        <v/>
      </c>
      <c r="AH95" s="291"/>
      <c r="AI95" s="291"/>
      <c r="AJ95" s="291"/>
      <c r="AK95" s="291"/>
      <c r="AL95" s="291"/>
      <c r="AM95" s="291"/>
      <c r="AN95" s="292"/>
      <c r="AO95" s="281" t="str">
        <f>IF(防_希望&lt;&gt;"する","",""&amp;IF(防_区分="なし","",防_区分))</f>
        <v/>
      </c>
      <c r="AP95" s="282"/>
      <c r="AQ95" s="282"/>
      <c r="AR95" s="293"/>
      <c r="BD95" s="96"/>
      <c r="BE95" s="96"/>
      <c r="BF95" s="96"/>
      <c r="BG95" s="96"/>
      <c r="BH95" s="96"/>
      <c r="BI95" s="96"/>
      <c r="BJ95" s="96"/>
      <c r="BK95" s="96"/>
      <c r="BL95" s="96"/>
      <c r="BM95" s="96"/>
      <c r="BN95" s="96"/>
      <c r="BO95" s="96"/>
      <c r="BP95" s="96"/>
      <c r="BQ95" s="96"/>
      <c r="BR95" s="96"/>
      <c r="BS95" s="96"/>
      <c r="BT95" s="96"/>
    </row>
    <row r="96" spans="1:72">
      <c r="A96"/>
      <c r="B96"/>
      <c r="C96" s="297" t="s">
        <v>27</v>
      </c>
      <c r="D96" s="298"/>
      <c r="E96" s="298"/>
      <c r="F96" s="298"/>
      <c r="G96" s="298"/>
      <c r="H96" s="298"/>
      <c r="I96" s="298"/>
      <c r="J96" s="298"/>
      <c r="K96" s="298"/>
      <c r="L96" s="298"/>
      <c r="M96" s="298"/>
      <c r="N96" s="299"/>
      <c r="O96" s="294" t="str">
        <f>IF(内_希望="する", "〇", "")</f>
        <v/>
      </c>
      <c r="P96" s="295"/>
      <c r="Q96" s="295"/>
      <c r="R96" s="300"/>
      <c r="S96" s="301" t="str">
        <f>IF(内_希望&lt;&gt;"する","",IF(ISBLANK(内_一級_内数),"",内_一級_内数))</f>
        <v/>
      </c>
      <c r="T96" s="302" t="str">
        <f>IF(ISBLANK(内_評点),"",内_評点)</f>
        <v/>
      </c>
      <c r="U96" s="302" t="str">
        <f>IF(ISBLANK(内_評点),"",内_評点)</f>
        <v/>
      </c>
      <c r="V96" s="302" t="str">
        <f>IF(ISBLANK(内_評点),"",内_評点)</f>
        <v/>
      </c>
      <c r="W96" s="301" t="str">
        <f>IF(内_希望&lt;&gt;"する","",IF(ISBLANK(内_二級_内数),"",内_二級_内数))</f>
        <v/>
      </c>
      <c r="X96" s="302" t="str">
        <f>IF(ISBLANK(内_評点),"",内_評点)</f>
        <v/>
      </c>
      <c r="Y96" s="302" t="str">
        <f>IF(ISBLANK(内_評点),"",内_評点)</f>
        <v/>
      </c>
      <c r="Z96" s="303" t="str">
        <f>IF(ISBLANK(内_評点),"",内_評点)</f>
        <v/>
      </c>
      <c r="AA96" s="301" t="str">
        <f>IF(内_希望&lt;&gt;"する","",IF(ISBLANK(内_評点),"",内_評点))</f>
        <v/>
      </c>
      <c r="AB96" s="302"/>
      <c r="AC96" s="302"/>
      <c r="AD96" s="302"/>
      <c r="AE96" s="302"/>
      <c r="AF96" s="303"/>
      <c r="AG96" s="304" t="str">
        <f>IF(内_希望&lt;&gt;"する","",IF(ISBLANK(内_工事高),"",内_工事高))</f>
        <v/>
      </c>
      <c r="AH96" s="305"/>
      <c r="AI96" s="305"/>
      <c r="AJ96" s="305"/>
      <c r="AK96" s="305"/>
      <c r="AL96" s="305"/>
      <c r="AM96" s="305"/>
      <c r="AN96" s="306"/>
      <c r="AO96" s="294" t="str">
        <f>IF(内_希望&lt;&gt;"する","",""&amp;IF(内_区分="なし","",内_区分))</f>
        <v/>
      </c>
      <c r="AP96" s="295"/>
      <c r="AQ96" s="295"/>
      <c r="AR96" s="296"/>
      <c r="BD96" s="96"/>
      <c r="BE96" s="96"/>
      <c r="BF96" s="96"/>
      <c r="BG96" s="96"/>
      <c r="BH96" s="96"/>
      <c r="BI96" s="96"/>
      <c r="BJ96" s="96"/>
      <c r="BK96" s="96"/>
      <c r="BL96" s="96"/>
      <c r="BM96" s="96"/>
      <c r="BN96" s="96"/>
      <c r="BO96" s="96"/>
      <c r="BP96" s="96"/>
      <c r="BQ96" s="96"/>
      <c r="BR96" s="96"/>
      <c r="BS96" s="96"/>
      <c r="BT96" s="96"/>
    </row>
    <row r="97" spans="1:72">
      <c r="A97"/>
      <c r="B97"/>
      <c r="C97" s="297" t="s">
        <v>28</v>
      </c>
      <c r="D97" s="298"/>
      <c r="E97" s="298"/>
      <c r="F97" s="298"/>
      <c r="G97" s="298"/>
      <c r="H97" s="298"/>
      <c r="I97" s="298"/>
      <c r="J97" s="298"/>
      <c r="K97" s="298"/>
      <c r="L97" s="298"/>
      <c r="M97" s="298"/>
      <c r="N97" s="299"/>
      <c r="O97" s="294" t="str">
        <f>IF(機_希望="する", "〇", "")</f>
        <v/>
      </c>
      <c r="P97" s="295"/>
      <c r="Q97" s="295"/>
      <c r="R97" s="300"/>
      <c r="S97" s="301" t="str">
        <f>IF(機_希望&lt;&gt;"する","",IF(ISBLANK(機_一級_内数),"",機_一級_内数))</f>
        <v/>
      </c>
      <c r="T97" s="302" t="str">
        <f>IF(ISBLANK(機_評点),"",機_評点)</f>
        <v/>
      </c>
      <c r="U97" s="302" t="str">
        <f>IF(ISBLANK(機_評点),"",機_評点)</f>
        <v/>
      </c>
      <c r="V97" s="302" t="str">
        <f>IF(ISBLANK(機_評点),"",機_評点)</f>
        <v/>
      </c>
      <c r="W97" s="301" t="str">
        <f>IF(機_希望&lt;&gt;"する","",IF(ISBLANK(機_二級_内数),"",機_二級_内数))</f>
        <v/>
      </c>
      <c r="X97" s="302" t="str">
        <f>IF(ISBLANK(機_評点),"",機_評点)</f>
        <v/>
      </c>
      <c r="Y97" s="302" t="str">
        <f>IF(ISBLANK(機_評点),"",機_評点)</f>
        <v/>
      </c>
      <c r="Z97" s="303" t="str">
        <f>IF(ISBLANK(機_評点),"",機_評点)</f>
        <v/>
      </c>
      <c r="AA97" s="301" t="str">
        <f>IF(機_希望&lt;&gt;"する","",IF(ISBLANK(機_評点),"",機_評点))</f>
        <v/>
      </c>
      <c r="AB97" s="302"/>
      <c r="AC97" s="302"/>
      <c r="AD97" s="302"/>
      <c r="AE97" s="302"/>
      <c r="AF97" s="303"/>
      <c r="AG97" s="304" t="str">
        <f>IF(機_希望&lt;&gt;"する","",IF(ISBLANK(機_工事高),"",機_工事高))</f>
        <v/>
      </c>
      <c r="AH97" s="305"/>
      <c r="AI97" s="305"/>
      <c r="AJ97" s="305"/>
      <c r="AK97" s="305"/>
      <c r="AL97" s="305"/>
      <c r="AM97" s="305"/>
      <c r="AN97" s="306"/>
      <c r="AO97" s="294" t="str">
        <f>IF(機_希望&lt;&gt;"する","",""&amp;IF(機_区分="なし","",機_区分))</f>
        <v/>
      </c>
      <c r="AP97" s="295"/>
      <c r="AQ97" s="295"/>
      <c r="AR97" s="296"/>
      <c r="BD97" s="96"/>
      <c r="BE97" s="96"/>
      <c r="BF97" s="96"/>
      <c r="BG97" s="96"/>
      <c r="BH97" s="96"/>
      <c r="BI97" s="96"/>
      <c r="BJ97" s="96"/>
      <c r="BK97" s="96"/>
      <c r="BL97" s="96"/>
      <c r="BM97" s="96"/>
      <c r="BN97" s="96"/>
      <c r="BO97" s="96"/>
      <c r="BP97" s="96"/>
      <c r="BQ97" s="96"/>
      <c r="BR97" s="96"/>
      <c r="BS97" s="96"/>
      <c r="BT97" s="96"/>
    </row>
    <row r="98" spans="1:72">
      <c r="A98"/>
      <c r="B98"/>
      <c r="C98" s="297" t="s">
        <v>29</v>
      </c>
      <c r="D98" s="298"/>
      <c r="E98" s="298"/>
      <c r="F98" s="298"/>
      <c r="G98" s="298"/>
      <c r="H98" s="298"/>
      <c r="I98" s="298"/>
      <c r="J98" s="298"/>
      <c r="K98" s="298"/>
      <c r="L98" s="298"/>
      <c r="M98" s="298"/>
      <c r="N98" s="299"/>
      <c r="O98" s="294" t="str">
        <f>IF(熱_希望="する", "〇", "")</f>
        <v/>
      </c>
      <c r="P98" s="295"/>
      <c r="Q98" s="295"/>
      <c r="R98" s="300"/>
      <c r="S98" s="301" t="str">
        <f>IF(熱_希望&lt;&gt;"する","",IF(ISBLANK(熱_一級_内数),"",熱_一級_内数))</f>
        <v/>
      </c>
      <c r="T98" s="302" t="str">
        <f>IF(ISBLANK(熱_評点),"",熱_評点)</f>
        <v/>
      </c>
      <c r="U98" s="302" t="str">
        <f>IF(ISBLANK(熱_評点),"",熱_評点)</f>
        <v/>
      </c>
      <c r="V98" s="302" t="str">
        <f>IF(ISBLANK(熱_評点),"",熱_評点)</f>
        <v/>
      </c>
      <c r="W98" s="301" t="str">
        <f>IF(熱_希望&lt;&gt;"する","",IF(ISBLANK(熱_二級_内数),"",熱_二級_内数))</f>
        <v/>
      </c>
      <c r="X98" s="302" t="str">
        <f>IF(ISBLANK(熱_評点),"",熱_評点)</f>
        <v/>
      </c>
      <c r="Y98" s="302" t="str">
        <f>IF(ISBLANK(熱_評点),"",熱_評点)</f>
        <v/>
      </c>
      <c r="Z98" s="303" t="str">
        <f>IF(ISBLANK(熱_評点),"",熱_評点)</f>
        <v/>
      </c>
      <c r="AA98" s="301" t="str">
        <f>IF(熱_希望&lt;&gt;"する","",IF(ISBLANK(熱_評点),"",熱_評点))</f>
        <v/>
      </c>
      <c r="AB98" s="302"/>
      <c r="AC98" s="302"/>
      <c r="AD98" s="302"/>
      <c r="AE98" s="302"/>
      <c r="AF98" s="303"/>
      <c r="AG98" s="304" t="str">
        <f>IF(熱_希望&lt;&gt;"する","",IF(ISBLANK(熱_工事高),"",熱_工事高))</f>
        <v/>
      </c>
      <c r="AH98" s="305"/>
      <c r="AI98" s="305"/>
      <c r="AJ98" s="305"/>
      <c r="AK98" s="305"/>
      <c r="AL98" s="305"/>
      <c r="AM98" s="305"/>
      <c r="AN98" s="306"/>
      <c r="AO98" s="294" t="str">
        <f>IF(熱_希望&lt;&gt;"する","",""&amp;IF(熱_区分="なし","",熱_区分))</f>
        <v/>
      </c>
      <c r="AP98" s="295"/>
      <c r="AQ98" s="295"/>
      <c r="AR98" s="296"/>
      <c r="BD98" s="96"/>
      <c r="BE98" s="96"/>
      <c r="BF98" s="96"/>
      <c r="BG98" s="96"/>
      <c r="BH98" s="96"/>
      <c r="BI98" s="96"/>
      <c r="BJ98" s="96"/>
      <c r="BK98" s="96"/>
      <c r="BL98" s="96"/>
      <c r="BM98" s="96"/>
      <c r="BN98" s="96"/>
      <c r="BO98" s="96"/>
      <c r="BP98" s="96"/>
      <c r="BQ98" s="96"/>
      <c r="BR98" s="96"/>
      <c r="BS98" s="96"/>
      <c r="BT98" s="96"/>
    </row>
    <row r="99" spans="1:72">
      <c r="A99"/>
      <c r="B99"/>
      <c r="C99" s="268" t="s">
        <v>30</v>
      </c>
      <c r="D99" s="269"/>
      <c r="E99" s="269"/>
      <c r="F99" s="269"/>
      <c r="G99" s="269"/>
      <c r="H99" s="269"/>
      <c r="I99" s="269"/>
      <c r="J99" s="269"/>
      <c r="K99" s="269"/>
      <c r="L99" s="269"/>
      <c r="M99" s="269"/>
      <c r="N99" s="270"/>
      <c r="O99" s="265" t="str">
        <f>IF(通_希望="する", "〇", "")</f>
        <v/>
      </c>
      <c r="P99" s="266"/>
      <c r="Q99" s="266"/>
      <c r="R99" s="271"/>
      <c r="S99" s="272" t="str">
        <f>IF(通_希望&lt;&gt;"する","",IF(ISBLANK(通_一級_内数),"",通_一級_内数))</f>
        <v/>
      </c>
      <c r="T99" s="273" t="str">
        <f>IF(ISBLANK(通_評点),"",通_評点)</f>
        <v/>
      </c>
      <c r="U99" s="273" t="str">
        <f>IF(ISBLANK(通_評点),"",通_評点)</f>
        <v/>
      </c>
      <c r="V99" s="273" t="str">
        <f>IF(ISBLANK(通_評点),"",通_評点)</f>
        <v/>
      </c>
      <c r="W99" s="272" t="str">
        <f>IF(通_希望&lt;&gt;"する","",IF(ISBLANK(通_二級_内数),"",通_二級_内数))</f>
        <v/>
      </c>
      <c r="X99" s="273" t="str">
        <f>IF(ISBLANK(通_評点),"",通_評点)</f>
        <v/>
      </c>
      <c r="Y99" s="273" t="str">
        <f>IF(ISBLANK(通_評点),"",通_評点)</f>
        <v/>
      </c>
      <c r="Z99" s="274" t="str">
        <f>IF(ISBLANK(通_評点),"",通_評点)</f>
        <v/>
      </c>
      <c r="AA99" s="272" t="str">
        <f>IF(通_希望&lt;&gt;"する","",IF(ISBLANK(通_評点),"",通_評点))</f>
        <v/>
      </c>
      <c r="AB99" s="273"/>
      <c r="AC99" s="273"/>
      <c r="AD99" s="273"/>
      <c r="AE99" s="273"/>
      <c r="AF99" s="274"/>
      <c r="AG99" s="275" t="str">
        <f>IF(通_希望&lt;&gt;"する","",IF(ISBLANK(通_工事高),"",通_工事高))</f>
        <v/>
      </c>
      <c r="AH99" s="276"/>
      <c r="AI99" s="276"/>
      <c r="AJ99" s="276"/>
      <c r="AK99" s="276"/>
      <c r="AL99" s="276"/>
      <c r="AM99" s="276"/>
      <c r="AN99" s="277"/>
      <c r="AO99" s="265" t="str">
        <f>IF(通_希望&lt;&gt;"する","",""&amp;IF(通_区分="なし","",通_区分))</f>
        <v/>
      </c>
      <c r="AP99" s="266"/>
      <c r="AQ99" s="266"/>
      <c r="AR99" s="267"/>
      <c r="BD99" s="96"/>
      <c r="BE99" s="96"/>
      <c r="BF99" s="96"/>
      <c r="BG99" s="96"/>
      <c r="BH99" s="96"/>
      <c r="BI99" s="96"/>
      <c r="BJ99" s="96"/>
      <c r="BK99" s="96"/>
      <c r="BL99" s="96"/>
      <c r="BM99" s="96"/>
      <c r="BN99" s="96"/>
      <c r="BO99" s="96"/>
      <c r="BP99" s="96"/>
      <c r="BQ99" s="96"/>
      <c r="BR99" s="96"/>
      <c r="BS99" s="96"/>
      <c r="BT99" s="96"/>
    </row>
    <row r="100" spans="1:72">
      <c r="A100"/>
      <c r="B100"/>
      <c r="C100" s="278" t="s">
        <v>31</v>
      </c>
      <c r="D100" s="279"/>
      <c r="E100" s="279"/>
      <c r="F100" s="279"/>
      <c r="G100" s="279"/>
      <c r="H100" s="279"/>
      <c r="I100" s="279"/>
      <c r="J100" s="279"/>
      <c r="K100" s="279"/>
      <c r="L100" s="279"/>
      <c r="M100" s="279"/>
      <c r="N100" s="280"/>
      <c r="O100" s="281" t="str">
        <f>IF(造_希望="する", "〇", "")</f>
        <v/>
      </c>
      <c r="P100" s="282"/>
      <c r="Q100" s="282"/>
      <c r="R100" s="283"/>
      <c r="S100" s="284" t="str">
        <f>IF(造_希望&lt;&gt;"する","",IF(ISBLANK(造_一級_内数),"",造_一級_内数))</f>
        <v/>
      </c>
      <c r="T100" s="285" t="str">
        <f>IF(ISBLANK(造_評点),"",造_評点)</f>
        <v/>
      </c>
      <c r="U100" s="285" t="str">
        <f>IF(ISBLANK(造_評点),"",造_評点)</f>
        <v/>
      </c>
      <c r="V100" s="285" t="str">
        <f>IF(ISBLANK(造_評点),"",造_評点)</f>
        <v/>
      </c>
      <c r="W100" s="284" t="str">
        <f>IF(造_希望&lt;&gt;"する","",IF(ISBLANK(造_二級_内数),"",造_二級_内数))</f>
        <v/>
      </c>
      <c r="X100" s="285" t="str">
        <f>IF(ISBLANK(造_評点),"",造_評点)</f>
        <v/>
      </c>
      <c r="Y100" s="285" t="str">
        <f>IF(ISBLANK(造_評点),"",造_評点)</f>
        <v/>
      </c>
      <c r="Z100" s="286" t="str">
        <f>IF(ISBLANK(造_評点),"",造_評点)</f>
        <v/>
      </c>
      <c r="AA100" s="287" t="str">
        <f>IF(造_希望&lt;&gt;"する","",IF(ISBLANK(造_評点),"",造_評点))</f>
        <v/>
      </c>
      <c r="AB100" s="288"/>
      <c r="AC100" s="288"/>
      <c r="AD100" s="288"/>
      <c r="AE100" s="288"/>
      <c r="AF100" s="289"/>
      <c r="AG100" s="290" t="str">
        <f>IF(造_希望&lt;&gt;"する","",IF(ISBLANK(造_工事高),"",造_工事高))</f>
        <v/>
      </c>
      <c r="AH100" s="291"/>
      <c r="AI100" s="291"/>
      <c r="AJ100" s="291"/>
      <c r="AK100" s="291"/>
      <c r="AL100" s="291"/>
      <c r="AM100" s="291"/>
      <c r="AN100" s="292"/>
      <c r="AO100" s="281" t="str">
        <f>IF(造_希望&lt;&gt;"する","",""&amp;IF(造_区分="なし","",造_区分))</f>
        <v/>
      </c>
      <c r="AP100" s="282"/>
      <c r="AQ100" s="282"/>
      <c r="AR100" s="293"/>
      <c r="BD100" s="96"/>
      <c r="BE100" s="96"/>
      <c r="BF100" s="96"/>
      <c r="BG100" s="96"/>
      <c r="BH100" s="96"/>
      <c r="BI100" s="96"/>
      <c r="BJ100" s="96"/>
      <c r="BK100" s="96"/>
      <c r="BL100" s="96"/>
      <c r="BM100" s="96"/>
      <c r="BN100" s="96"/>
      <c r="BO100" s="96"/>
      <c r="BP100" s="96"/>
      <c r="BQ100" s="96"/>
      <c r="BR100" s="96"/>
      <c r="BS100" s="96"/>
      <c r="BT100" s="96"/>
    </row>
    <row r="101" spans="1:72">
      <c r="A101"/>
      <c r="B101"/>
      <c r="C101" s="297" t="s">
        <v>32</v>
      </c>
      <c r="D101" s="298"/>
      <c r="E101" s="298"/>
      <c r="F101" s="298"/>
      <c r="G101" s="298"/>
      <c r="H101" s="298"/>
      <c r="I101" s="298"/>
      <c r="J101" s="298"/>
      <c r="K101" s="298"/>
      <c r="L101" s="298"/>
      <c r="M101" s="298"/>
      <c r="N101" s="299"/>
      <c r="O101" s="294" t="str">
        <f>IF(さ_希望="する", "〇", "")</f>
        <v/>
      </c>
      <c r="P101" s="295"/>
      <c r="Q101" s="295"/>
      <c r="R101" s="300"/>
      <c r="S101" s="301" t="str">
        <f>IF(さ_希望&lt;&gt;"する","",IF(ISBLANK(さ_一級_内数),"",さ_一級_内数))</f>
        <v/>
      </c>
      <c r="T101" s="302" t="str">
        <f>IF(ISBLANK(さ_評点),"",さ_評点)</f>
        <v/>
      </c>
      <c r="U101" s="302" t="str">
        <f>IF(ISBLANK(さ_評点),"",さ_評点)</f>
        <v/>
      </c>
      <c r="V101" s="302" t="str">
        <f>IF(ISBLANK(さ_評点),"",さ_評点)</f>
        <v/>
      </c>
      <c r="W101" s="301" t="str">
        <f>IF(さ_希望&lt;&gt;"する","",IF(ISBLANK(さ_二級_内数),"",さ_二級_内数))</f>
        <v/>
      </c>
      <c r="X101" s="302" t="str">
        <f>IF(ISBLANK(さ_評点),"",さ_評点)</f>
        <v/>
      </c>
      <c r="Y101" s="302" t="str">
        <f>IF(ISBLANK(さ_評点),"",さ_評点)</f>
        <v/>
      </c>
      <c r="Z101" s="303" t="str">
        <f>IF(ISBLANK(さ_評点),"",さ_評点)</f>
        <v/>
      </c>
      <c r="AA101" s="301" t="str">
        <f>IF(さ_希望&lt;&gt;"する","",IF(ISBLANK(さ_評点),"",さ_評点))</f>
        <v/>
      </c>
      <c r="AB101" s="302"/>
      <c r="AC101" s="302"/>
      <c r="AD101" s="302"/>
      <c r="AE101" s="302"/>
      <c r="AF101" s="303"/>
      <c r="AG101" s="304" t="str">
        <f>IF(さ_希望&lt;&gt;"する","",IF(ISBLANK(さ_工事高),"",さ_工事高))</f>
        <v/>
      </c>
      <c r="AH101" s="305"/>
      <c r="AI101" s="305"/>
      <c r="AJ101" s="305"/>
      <c r="AK101" s="305"/>
      <c r="AL101" s="305"/>
      <c r="AM101" s="305"/>
      <c r="AN101" s="306"/>
      <c r="AO101" s="294" t="str">
        <f>IF(さ_希望&lt;&gt;"する","",""&amp;IF(さ_区分="なし","",さ_区分))</f>
        <v/>
      </c>
      <c r="AP101" s="295"/>
      <c r="AQ101" s="295"/>
      <c r="AR101" s="296"/>
      <c r="BD101" s="96"/>
      <c r="BE101" s="96"/>
      <c r="BF101" s="96"/>
      <c r="BG101" s="96"/>
      <c r="BH101" s="96"/>
      <c r="BI101" s="96"/>
      <c r="BJ101" s="96"/>
      <c r="BK101" s="96"/>
      <c r="BL101" s="96"/>
      <c r="BM101" s="96"/>
      <c r="BN101" s="96"/>
      <c r="BO101" s="96"/>
      <c r="BP101" s="96"/>
      <c r="BQ101" s="96"/>
      <c r="BR101" s="96"/>
      <c r="BS101" s="96"/>
      <c r="BT101" s="96"/>
    </row>
    <row r="102" spans="1:72">
      <c r="A102"/>
      <c r="B102"/>
      <c r="C102" s="297" t="s">
        <v>33</v>
      </c>
      <c r="D102" s="298"/>
      <c r="E102" s="298"/>
      <c r="F102" s="298"/>
      <c r="G102" s="298"/>
      <c r="H102" s="298"/>
      <c r="I102" s="298"/>
      <c r="J102" s="298"/>
      <c r="K102" s="298"/>
      <c r="L102" s="298"/>
      <c r="M102" s="298"/>
      <c r="N102" s="299"/>
      <c r="O102" s="294" t="str">
        <f>IF(具_希望="する", "〇", "")</f>
        <v/>
      </c>
      <c r="P102" s="295"/>
      <c r="Q102" s="295"/>
      <c r="R102" s="300"/>
      <c r="S102" s="301" t="str">
        <f>IF(具_希望&lt;&gt;"する","",IF(ISBLANK(具_一級_内数),"",具_一級_内数))</f>
        <v/>
      </c>
      <c r="T102" s="302" t="str">
        <f>IF(ISBLANK(具_評点),"",具_評点)</f>
        <v/>
      </c>
      <c r="U102" s="302" t="str">
        <f>IF(ISBLANK(具_評点),"",具_評点)</f>
        <v/>
      </c>
      <c r="V102" s="302" t="str">
        <f>IF(ISBLANK(具_評点),"",具_評点)</f>
        <v/>
      </c>
      <c r="W102" s="301" t="str">
        <f>IF(具_希望&lt;&gt;"する","",IF(ISBLANK(具_二級_内数),"",具_二級_内数))</f>
        <v/>
      </c>
      <c r="X102" s="302" t="str">
        <f>IF(ISBLANK(具_評点),"",具_評点)</f>
        <v/>
      </c>
      <c r="Y102" s="302" t="str">
        <f>IF(ISBLANK(具_評点),"",具_評点)</f>
        <v/>
      </c>
      <c r="Z102" s="303" t="str">
        <f>IF(ISBLANK(具_評点),"",具_評点)</f>
        <v/>
      </c>
      <c r="AA102" s="301" t="str">
        <f>IF(具_希望&lt;&gt;"する","",IF(ISBLANK(具_評点),"",具_評点))</f>
        <v/>
      </c>
      <c r="AB102" s="302"/>
      <c r="AC102" s="302"/>
      <c r="AD102" s="302"/>
      <c r="AE102" s="302"/>
      <c r="AF102" s="303"/>
      <c r="AG102" s="304" t="str">
        <f>IF(具_希望&lt;&gt;"する","",IF(ISBLANK(具_工事高),"",具_工事高))</f>
        <v/>
      </c>
      <c r="AH102" s="305"/>
      <c r="AI102" s="305"/>
      <c r="AJ102" s="305"/>
      <c r="AK102" s="305"/>
      <c r="AL102" s="305"/>
      <c r="AM102" s="305"/>
      <c r="AN102" s="306"/>
      <c r="AO102" s="294" t="str">
        <f>IF(具_希望&lt;&gt;"する","",""&amp;IF(具_区分="なし","",具_区分))</f>
        <v/>
      </c>
      <c r="AP102" s="295"/>
      <c r="AQ102" s="295"/>
      <c r="AR102" s="296"/>
      <c r="BD102" s="96"/>
      <c r="BE102" s="96"/>
      <c r="BF102" s="96"/>
      <c r="BG102" s="96"/>
      <c r="BH102" s="96"/>
      <c r="BI102" s="96"/>
      <c r="BJ102" s="96"/>
      <c r="BK102" s="96"/>
      <c r="BL102" s="96"/>
      <c r="BM102" s="96"/>
      <c r="BN102" s="96"/>
      <c r="BO102" s="96"/>
      <c r="BP102" s="96"/>
      <c r="BQ102" s="96"/>
      <c r="BR102" s="96"/>
      <c r="BS102" s="96"/>
      <c r="BT102" s="96"/>
    </row>
    <row r="103" spans="1:72">
      <c r="A103"/>
      <c r="B103"/>
      <c r="C103" s="297" t="s">
        <v>34</v>
      </c>
      <c r="D103" s="298"/>
      <c r="E103" s="298"/>
      <c r="F103" s="298"/>
      <c r="G103" s="298"/>
      <c r="H103" s="298"/>
      <c r="I103" s="298"/>
      <c r="J103" s="298"/>
      <c r="K103" s="298"/>
      <c r="L103" s="298"/>
      <c r="M103" s="298"/>
      <c r="N103" s="299"/>
      <c r="O103" s="294" t="str">
        <f>IF(水_希望="する", "〇", "")</f>
        <v/>
      </c>
      <c r="P103" s="295"/>
      <c r="Q103" s="295"/>
      <c r="R103" s="300"/>
      <c r="S103" s="301" t="str">
        <f>IF(水_希望&lt;&gt;"する","",IF(ISBLANK(水_一級_内数),"",水_一級_内数))</f>
        <v/>
      </c>
      <c r="T103" s="302" t="str">
        <f>IF(ISBLANK(水_評点),"",水_評点)</f>
        <v/>
      </c>
      <c r="U103" s="302" t="str">
        <f>IF(ISBLANK(水_評点),"",水_評点)</f>
        <v/>
      </c>
      <c r="V103" s="302" t="str">
        <f>IF(ISBLANK(水_評点),"",水_評点)</f>
        <v/>
      </c>
      <c r="W103" s="301" t="str">
        <f>IF(水_希望&lt;&gt;"する","",IF(ISBLANK(水_二級_内数),"",水_二級_内数))</f>
        <v/>
      </c>
      <c r="X103" s="302" t="str">
        <f>IF(ISBLANK(水_評点),"",水_評点)</f>
        <v/>
      </c>
      <c r="Y103" s="302" t="str">
        <f>IF(ISBLANK(水_評点),"",水_評点)</f>
        <v/>
      </c>
      <c r="Z103" s="303" t="str">
        <f>IF(ISBLANK(水_評点),"",水_評点)</f>
        <v/>
      </c>
      <c r="AA103" s="301" t="str">
        <f>IF(水_希望&lt;&gt;"する","",IF(ISBLANK(水_評点),"",水_評点))</f>
        <v/>
      </c>
      <c r="AB103" s="302"/>
      <c r="AC103" s="302"/>
      <c r="AD103" s="302"/>
      <c r="AE103" s="302"/>
      <c r="AF103" s="303"/>
      <c r="AG103" s="304" t="str">
        <f>IF(水_希望&lt;&gt;"する","",IF(ISBLANK(水_工事高),"",水_工事高))</f>
        <v/>
      </c>
      <c r="AH103" s="305"/>
      <c r="AI103" s="305"/>
      <c r="AJ103" s="305"/>
      <c r="AK103" s="305"/>
      <c r="AL103" s="305"/>
      <c r="AM103" s="305"/>
      <c r="AN103" s="306"/>
      <c r="AO103" s="294" t="str">
        <f>IF(水_希望&lt;&gt;"する","",""&amp;IF(水_区分="なし","",水_区分))</f>
        <v/>
      </c>
      <c r="AP103" s="295"/>
      <c r="AQ103" s="295"/>
      <c r="AR103" s="296"/>
      <c r="BD103" s="96"/>
      <c r="BE103" s="96"/>
      <c r="BF103" s="96"/>
      <c r="BG103" s="96"/>
      <c r="BH103" s="96"/>
      <c r="BI103" s="96"/>
      <c r="BJ103" s="96"/>
      <c r="BK103" s="96"/>
      <c r="BL103" s="96"/>
      <c r="BM103" s="96"/>
      <c r="BN103" s="96"/>
      <c r="BO103" s="96"/>
      <c r="BP103" s="96"/>
      <c r="BQ103" s="96"/>
      <c r="BR103" s="96"/>
      <c r="BS103" s="96"/>
      <c r="BT103" s="96"/>
    </row>
    <row r="104" spans="1:72">
      <c r="A104"/>
      <c r="B104"/>
      <c r="C104" s="268" t="s">
        <v>35</v>
      </c>
      <c r="D104" s="269"/>
      <c r="E104" s="269"/>
      <c r="F104" s="269"/>
      <c r="G104" s="269"/>
      <c r="H104" s="269"/>
      <c r="I104" s="269"/>
      <c r="J104" s="269"/>
      <c r="K104" s="269"/>
      <c r="L104" s="269"/>
      <c r="M104" s="269"/>
      <c r="N104" s="270"/>
      <c r="O104" s="265" t="str">
        <f>IF(消_希望="する", "〇", "")</f>
        <v/>
      </c>
      <c r="P104" s="266"/>
      <c r="Q104" s="266"/>
      <c r="R104" s="271"/>
      <c r="S104" s="272" t="str">
        <f>IF(消_希望&lt;&gt;"する","",IF(ISBLANK(消_一級_内数),"",消_一級_内数))</f>
        <v/>
      </c>
      <c r="T104" s="273" t="str">
        <f>IF(ISBLANK(消_評点),"",消_評点)</f>
        <v/>
      </c>
      <c r="U104" s="273" t="str">
        <f>IF(ISBLANK(消_評点),"",消_評点)</f>
        <v/>
      </c>
      <c r="V104" s="273" t="str">
        <f>IF(ISBLANK(消_評点),"",消_評点)</f>
        <v/>
      </c>
      <c r="W104" s="272" t="str">
        <f>IF(消_希望&lt;&gt;"する","",IF(ISBLANK(消_二級_内数),"",消_二級_内数))</f>
        <v/>
      </c>
      <c r="X104" s="273" t="str">
        <f>IF(ISBLANK(消_評点),"",消_評点)</f>
        <v/>
      </c>
      <c r="Y104" s="273" t="str">
        <f>IF(ISBLANK(消_評点),"",消_評点)</f>
        <v/>
      </c>
      <c r="Z104" s="274" t="str">
        <f>IF(ISBLANK(消_評点),"",消_評点)</f>
        <v/>
      </c>
      <c r="AA104" s="272" t="str">
        <f>IF(消_希望&lt;&gt;"する","",IF(ISBLANK(消_評点),"",消_評点))</f>
        <v/>
      </c>
      <c r="AB104" s="273"/>
      <c r="AC104" s="273"/>
      <c r="AD104" s="273"/>
      <c r="AE104" s="273"/>
      <c r="AF104" s="274"/>
      <c r="AG104" s="275" t="str">
        <f>IF(消_希望&lt;&gt;"する","",IF(ISBLANK(消_工事高),"",消_工事高))</f>
        <v/>
      </c>
      <c r="AH104" s="276"/>
      <c r="AI104" s="276"/>
      <c r="AJ104" s="276"/>
      <c r="AK104" s="276"/>
      <c r="AL104" s="276"/>
      <c r="AM104" s="276"/>
      <c r="AN104" s="277"/>
      <c r="AO104" s="265" t="str">
        <f>IF(消_希望&lt;&gt;"する","",""&amp;IF(消_区分="なし","",消_区分))</f>
        <v/>
      </c>
      <c r="AP104" s="266"/>
      <c r="AQ104" s="266"/>
      <c r="AR104" s="267"/>
      <c r="BD104" s="96"/>
      <c r="BE104" s="96"/>
      <c r="BF104" s="96"/>
      <c r="BG104" s="96"/>
      <c r="BH104" s="96"/>
      <c r="BI104" s="96"/>
      <c r="BJ104" s="96"/>
      <c r="BK104" s="96"/>
      <c r="BL104" s="96"/>
      <c r="BM104" s="96"/>
      <c r="BN104" s="96"/>
      <c r="BO104" s="96"/>
      <c r="BP104" s="96"/>
      <c r="BQ104" s="96"/>
      <c r="BR104" s="96"/>
      <c r="BS104" s="96"/>
      <c r="BT104" s="96"/>
    </row>
    <row r="105" spans="1:72">
      <c r="A105"/>
      <c r="B105"/>
      <c r="C105" s="278" t="s">
        <v>36</v>
      </c>
      <c r="D105" s="279"/>
      <c r="E105" s="279"/>
      <c r="F105" s="279"/>
      <c r="G105" s="279"/>
      <c r="H105" s="279"/>
      <c r="I105" s="279"/>
      <c r="J105" s="279"/>
      <c r="K105" s="279"/>
      <c r="L105" s="279"/>
      <c r="M105" s="279"/>
      <c r="N105" s="280"/>
      <c r="O105" s="281" t="str">
        <f>IF(清_希望="する", "〇", "")</f>
        <v/>
      </c>
      <c r="P105" s="282"/>
      <c r="Q105" s="282"/>
      <c r="R105" s="283"/>
      <c r="S105" s="284" t="str">
        <f>IF(清_希望&lt;&gt;"する","",IF(ISBLANK(清_一級_内数),"",清_一級_内数))</f>
        <v/>
      </c>
      <c r="T105" s="285" t="str">
        <f>IF(ISBLANK(清_評点),"",清_評点)</f>
        <v/>
      </c>
      <c r="U105" s="285" t="str">
        <f>IF(ISBLANK(清_評点),"",清_評点)</f>
        <v/>
      </c>
      <c r="V105" s="285" t="str">
        <f>IF(ISBLANK(清_評点),"",清_評点)</f>
        <v/>
      </c>
      <c r="W105" s="284" t="str">
        <f>IF(清_希望&lt;&gt;"する","",IF(ISBLANK(清_二級_内数),"",清_二級_内数))</f>
        <v/>
      </c>
      <c r="X105" s="285" t="str">
        <f>IF(ISBLANK(清_評点),"",清_評点)</f>
        <v/>
      </c>
      <c r="Y105" s="285" t="str">
        <f>IF(ISBLANK(清_評点),"",清_評点)</f>
        <v/>
      </c>
      <c r="Z105" s="286" t="str">
        <f>IF(ISBLANK(清_評点),"",清_評点)</f>
        <v/>
      </c>
      <c r="AA105" s="287" t="str">
        <f>IF(清_希望&lt;&gt;"する","",IF(ISBLANK(清_評点),"",清_評点))</f>
        <v/>
      </c>
      <c r="AB105" s="288"/>
      <c r="AC105" s="288"/>
      <c r="AD105" s="288"/>
      <c r="AE105" s="288"/>
      <c r="AF105" s="289"/>
      <c r="AG105" s="290" t="str">
        <f>IF(清_希望&lt;&gt;"する","",IF(ISBLANK(清_工事高),"",清_工事高))</f>
        <v/>
      </c>
      <c r="AH105" s="291"/>
      <c r="AI105" s="291"/>
      <c r="AJ105" s="291"/>
      <c r="AK105" s="291"/>
      <c r="AL105" s="291"/>
      <c r="AM105" s="291"/>
      <c r="AN105" s="292"/>
      <c r="AO105" s="281" t="str">
        <f>IF(清_希望&lt;&gt;"する","",""&amp;IF(清_区分="なし","",清_区分))</f>
        <v/>
      </c>
      <c r="AP105" s="282"/>
      <c r="AQ105" s="282"/>
      <c r="AR105" s="293"/>
      <c r="BD105" s="96"/>
      <c r="BE105" s="96"/>
      <c r="BF105" s="96"/>
      <c r="BG105" s="96"/>
      <c r="BH105" s="96"/>
      <c r="BI105" s="96"/>
      <c r="BJ105" s="96"/>
      <c r="BK105" s="96"/>
      <c r="BL105" s="96"/>
      <c r="BM105" s="96"/>
      <c r="BN105" s="96"/>
      <c r="BO105" s="96"/>
      <c r="BP105" s="96"/>
      <c r="BQ105" s="96"/>
      <c r="BR105" s="96"/>
      <c r="BS105" s="96"/>
      <c r="BT105" s="96"/>
    </row>
    <row r="106" spans="1:72">
      <c r="A106"/>
      <c r="B106"/>
      <c r="C106" s="268" t="s">
        <v>186</v>
      </c>
      <c r="D106" s="269"/>
      <c r="E106" s="269"/>
      <c r="F106" s="269"/>
      <c r="G106" s="269"/>
      <c r="H106" s="269"/>
      <c r="I106" s="269"/>
      <c r="J106" s="269"/>
      <c r="K106" s="269"/>
      <c r="L106" s="269"/>
      <c r="M106" s="269"/>
      <c r="N106" s="270"/>
      <c r="O106" s="265" t="str">
        <f>IF(解_希望="する", "〇", "")</f>
        <v/>
      </c>
      <c r="P106" s="266"/>
      <c r="Q106" s="266"/>
      <c r="R106" s="271"/>
      <c r="S106" s="272" t="str">
        <f>IF(解_希望&lt;&gt;"する","",IF(ISBLANK(解_一級_内数),"",解_一級_内数))</f>
        <v/>
      </c>
      <c r="T106" s="273" t="str">
        <f>IF(ISBLANK(解_評点),"",解_評点)</f>
        <v/>
      </c>
      <c r="U106" s="273" t="str">
        <f>IF(ISBLANK(解_評点),"",解_評点)</f>
        <v/>
      </c>
      <c r="V106" s="273" t="str">
        <f>IF(ISBLANK(解_評点),"",解_評点)</f>
        <v/>
      </c>
      <c r="W106" s="272" t="str">
        <f>IF(解_希望&lt;&gt;"する","",IF(ISBLANK(解_二級_内数),"",解_二級_内数))</f>
        <v/>
      </c>
      <c r="X106" s="273" t="str">
        <f>IF(ISBLANK(解_評点),"",解_評点)</f>
        <v/>
      </c>
      <c r="Y106" s="273" t="str">
        <f>IF(ISBLANK(解_評点),"",解_評点)</f>
        <v/>
      </c>
      <c r="Z106" s="274" t="str">
        <f>IF(ISBLANK(解_評点),"",解_評点)</f>
        <v/>
      </c>
      <c r="AA106" s="272" t="str">
        <f>IF(解_希望&lt;&gt;"する","",IF(ISBLANK(解_評点),"",解_評点))</f>
        <v/>
      </c>
      <c r="AB106" s="273"/>
      <c r="AC106" s="273"/>
      <c r="AD106" s="273"/>
      <c r="AE106" s="273"/>
      <c r="AF106" s="274"/>
      <c r="AG106" s="275" t="str">
        <f>IF(解_希望&lt;&gt;"する","",IF(ISBLANK(解_工事高),"",解_工事高))</f>
        <v/>
      </c>
      <c r="AH106" s="276"/>
      <c r="AI106" s="276"/>
      <c r="AJ106" s="276"/>
      <c r="AK106" s="276"/>
      <c r="AL106" s="276"/>
      <c r="AM106" s="276"/>
      <c r="AN106" s="277"/>
      <c r="AO106" s="265" t="str">
        <f>IF(解_希望&lt;&gt;"する","",""&amp;IF(解_区分="なし","",解_区分))</f>
        <v/>
      </c>
      <c r="AP106" s="266"/>
      <c r="AQ106" s="266"/>
      <c r="AR106" s="267"/>
      <c r="BD106" s="96"/>
      <c r="BE106" s="96"/>
      <c r="BF106" s="96"/>
      <c r="BG106" s="96"/>
      <c r="BH106" s="96"/>
      <c r="BI106" s="96"/>
      <c r="BJ106" s="96"/>
      <c r="BK106" s="96"/>
      <c r="BL106" s="96"/>
      <c r="BM106" s="96"/>
      <c r="BN106" s="96"/>
      <c r="BO106" s="96"/>
      <c r="BP106" s="96"/>
      <c r="BQ106" s="96"/>
      <c r="BR106" s="96"/>
      <c r="BS106" s="96"/>
      <c r="BT106" s="96"/>
    </row>
  </sheetData>
  <sheetProtection password="EF3D" sheet="1" objects="1" scenarios="1" selectLockedCells="1"/>
  <dataConsolidate/>
  <mergeCells count="338">
    <mergeCell ref="B1:AZ1"/>
    <mergeCell ref="AO2:AZ2"/>
    <mergeCell ref="B3:BA3"/>
    <mergeCell ref="B5:BA5"/>
    <mergeCell ref="C10:K10"/>
    <mergeCell ref="M11:BA11"/>
    <mergeCell ref="C19:K19"/>
    <mergeCell ref="M19:N19"/>
    <mergeCell ref="O19:S19"/>
    <mergeCell ref="T19:BA19"/>
    <mergeCell ref="C21:K21"/>
    <mergeCell ref="M21:X21"/>
    <mergeCell ref="Z21:AG21"/>
    <mergeCell ref="AI21:AT21"/>
    <mergeCell ref="C12:K12"/>
    <mergeCell ref="M12:BA12"/>
    <mergeCell ref="C14:K14"/>
    <mergeCell ref="M14:X14"/>
    <mergeCell ref="X16:BA16"/>
    <mergeCell ref="C17:K17"/>
    <mergeCell ref="M17:V17"/>
    <mergeCell ref="X17:BA17"/>
    <mergeCell ref="AL27:AR27"/>
    <mergeCell ref="AT27:BA27"/>
    <mergeCell ref="C25:K25"/>
    <mergeCell ref="M25:X25"/>
    <mergeCell ref="Z25:AG25"/>
    <mergeCell ref="AI25:AT25"/>
    <mergeCell ref="C23:K23"/>
    <mergeCell ref="C27:K27"/>
    <mergeCell ref="M27:X27"/>
    <mergeCell ref="Z27:AC27"/>
    <mergeCell ref="AD27:AK27"/>
    <mergeCell ref="O23:U23"/>
    <mergeCell ref="W23:X23"/>
    <mergeCell ref="C33:V33"/>
    <mergeCell ref="D34:N34"/>
    <mergeCell ref="Z34:AJ34"/>
    <mergeCell ref="D35:N35"/>
    <mergeCell ref="Z35:AJ35"/>
    <mergeCell ref="D36:N36"/>
    <mergeCell ref="Z36:AJ36"/>
    <mergeCell ref="C29:K29"/>
    <mergeCell ref="M29:X29"/>
    <mergeCell ref="C31:K31"/>
    <mergeCell ref="M31:X31"/>
    <mergeCell ref="O34:Y34"/>
    <mergeCell ref="O35:Y35"/>
    <mergeCell ref="O36:Y36"/>
    <mergeCell ref="Z31:AH31"/>
    <mergeCell ref="AJ31:AU31"/>
    <mergeCell ref="C43:K43"/>
    <mergeCell ref="M43:X43"/>
    <mergeCell ref="C44:K44"/>
    <mergeCell ref="M44:X44"/>
    <mergeCell ref="C46:K46"/>
    <mergeCell ref="M46:X46"/>
    <mergeCell ref="C38:K38"/>
    <mergeCell ref="M38:X38"/>
    <mergeCell ref="Z38:AB38"/>
    <mergeCell ref="C40:K40"/>
    <mergeCell ref="C41:K41"/>
    <mergeCell ref="M41:BA41"/>
    <mergeCell ref="C53:K53"/>
    <mergeCell ref="M53:BA53"/>
    <mergeCell ref="C54:K54"/>
    <mergeCell ref="M54:BA54"/>
    <mergeCell ref="C56:K56"/>
    <mergeCell ref="X56:BA56"/>
    <mergeCell ref="Z46:AG46"/>
    <mergeCell ref="AI46:AT46"/>
    <mergeCell ref="C48:K48"/>
    <mergeCell ref="M48:BA48"/>
    <mergeCell ref="C50:K50"/>
    <mergeCell ref="C51:K51"/>
    <mergeCell ref="M51:N51"/>
    <mergeCell ref="O51:S51"/>
    <mergeCell ref="U51:BA51"/>
    <mergeCell ref="C61:K61"/>
    <mergeCell ref="C62:K62"/>
    <mergeCell ref="M62:N62"/>
    <mergeCell ref="O62:S62"/>
    <mergeCell ref="U62:BA62"/>
    <mergeCell ref="C65:K65"/>
    <mergeCell ref="M65:BA65"/>
    <mergeCell ref="C57:K57"/>
    <mergeCell ref="M57:V57"/>
    <mergeCell ref="X57:BA57"/>
    <mergeCell ref="C59:K59"/>
    <mergeCell ref="M59:X59"/>
    <mergeCell ref="Z59:AG59"/>
    <mergeCell ref="AI59:AT59"/>
    <mergeCell ref="C64:K64"/>
    <mergeCell ref="M64:AZ64"/>
    <mergeCell ref="C67:K67"/>
    <mergeCell ref="M67:X67"/>
    <mergeCell ref="Z67:AG67"/>
    <mergeCell ref="AI67:AT67"/>
    <mergeCell ref="C70:R70"/>
    <mergeCell ref="C72:N73"/>
    <mergeCell ref="O72:R73"/>
    <mergeCell ref="S72:Z72"/>
    <mergeCell ref="AA72:AF73"/>
    <mergeCell ref="AG72:AN73"/>
    <mergeCell ref="AO72:AR73"/>
    <mergeCell ref="S73:V73"/>
    <mergeCell ref="W73:Z73"/>
    <mergeCell ref="C74:N74"/>
    <mergeCell ref="O74:R74"/>
    <mergeCell ref="S74:V74"/>
    <mergeCell ref="W74:Z74"/>
    <mergeCell ref="AA74:AF74"/>
    <mergeCell ref="AG74:AN74"/>
    <mergeCell ref="AO74:AR74"/>
    <mergeCell ref="C75:N75"/>
    <mergeCell ref="O75:R75"/>
    <mergeCell ref="S75:V75"/>
    <mergeCell ref="W75:Z75"/>
    <mergeCell ref="AA75:AF75"/>
    <mergeCell ref="AG75:AN75"/>
    <mergeCell ref="AO75:AR75"/>
    <mergeCell ref="AO76:AR76"/>
    <mergeCell ref="C77:N77"/>
    <mergeCell ref="O77:R77"/>
    <mergeCell ref="S77:V77"/>
    <mergeCell ref="W77:Z77"/>
    <mergeCell ref="AA77:AF77"/>
    <mergeCell ref="AG77:AN77"/>
    <mergeCell ref="AO77:AR77"/>
    <mergeCell ref="C76:N76"/>
    <mergeCell ref="O76:R76"/>
    <mergeCell ref="S76:V76"/>
    <mergeCell ref="W76:Z76"/>
    <mergeCell ref="AA76:AF76"/>
    <mergeCell ref="AG76:AN76"/>
    <mergeCell ref="AO78:AR78"/>
    <mergeCell ref="C79:N79"/>
    <mergeCell ref="O79:R79"/>
    <mergeCell ref="S79:V79"/>
    <mergeCell ref="W79:Z79"/>
    <mergeCell ref="AA79:AF79"/>
    <mergeCell ref="AG79:AN79"/>
    <mergeCell ref="AO79:AR79"/>
    <mergeCell ref="C78:N78"/>
    <mergeCell ref="O78:R78"/>
    <mergeCell ref="S78:V78"/>
    <mergeCell ref="W78:Z78"/>
    <mergeCell ref="AA78:AF78"/>
    <mergeCell ref="AG78:AN78"/>
    <mergeCell ref="AO80:AR80"/>
    <mergeCell ref="C81:N81"/>
    <mergeCell ref="O81:R81"/>
    <mergeCell ref="S81:V81"/>
    <mergeCell ref="W81:Z81"/>
    <mergeCell ref="AA81:AF81"/>
    <mergeCell ref="AG81:AN81"/>
    <mergeCell ref="AO81:AR81"/>
    <mergeCell ref="C80:N80"/>
    <mergeCell ref="O80:R80"/>
    <mergeCell ref="S80:V80"/>
    <mergeCell ref="W80:Z80"/>
    <mergeCell ref="AA80:AF80"/>
    <mergeCell ref="AG80:AN80"/>
    <mergeCell ref="AO82:AR82"/>
    <mergeCell ref="C83:N83"/>
    <mergeCell ref="O83:R83"/>
    <mergeCell ref="S83:V83"/>
    <mergeCell ref="W83:Z83"/>
    <mergeCell ref="AA83:AF83"/>
    <mergeCell ref="AG83:AN83"/>
    <mergeCell ref="AO83:AR83"/>
    <mergeCell ref="C82:N82"/>
    <mergeCell ref="O82:R82"/>
    <mergeCell ref="S82:V82"/>
    <mergeCell ref="W82:Z82"/>
    <mergeCell ref="AA82:AF82"/>
    <mergeCell ref="AG82:AN82"/>
    <mergeCell ref="AO84:AR84"/>
    <mergeCell ref="C85:N85"/>
    <mergeCell ref="O85:R85"/>
    <mergeCell ref="S85:V85"/>
    <mergeCell ref="W85:Z85"/>
    <mergeCell ref="AA85:AF85"/>
    <mergeCell ref="AG85:AN85"/>
    <mergeCell ref="AO85:AR85"/>
    <mergeCell ref="C84:N84"/>
    <mergeCell ref="O84:R84"/>
    <mergeCell ref="S84:V84"/>
    <mergeCell ref="W84:Z84"/>
    <mergeCell ref="AA84:AF84"/>
    <mergeCell ref="AG84:AN84"/>
    <mergeCell ref="AO86:AR86"/>
    <mergeCell ref="C87:N87"/>
    <mergeCell ref="O87:R87"/>
    <mergeCell ref="S87:V87"/>
    <mergeCell ref="W87:Z87"/>
    <mergeCell ref="AA87:AF87"/>
    <mergeCell ref="AG87:AN87"/>
    <mergeCell ref="AO87:AR87"/>
    <mergeCell ref="C86:N86"/>
    <mergeCell ref="O86:R86"/>
    <mergeCell ref="S86:V86"/>
    <mergeCell ref="W86:Z86"/>
    <mergeCell ref="AA86:AF86"/>
    <mergeCell ref="AG86:AN86"/>
    <mergeCell ref="AO88:AR88"/>
    <mergeCell ref="C89:N89"/>
    <mergeCell ref="O89:R89"/>
    <mergeCell ref="S89:V89"/>
    <mergeCell ref="W89:Z89"/>
    <mergeCell ref="AA89:AF89"/>
    <mergeCell ref="AG89:AN89"/>
    <mergeCell ref="AO89:AR89"/>
    <mergeCell ref="C88:N88"/>
    <mergeCell ref="O88:R88"/>
    <mergeCell ref="S88:V88"/>
    <mergeCell ref="W88:Z88"/>
    <mergeCell ref="AA88:AF88"/>
    <mergeCell ref="AG88:AN88"/>
    <mergeCell ref="AO90:AR90"/>
    <mergeCell ref="C91:N91"/>
    <mergeCell ref="O91:R91"/>
    <mergeCell ref="S91:V91"/>
    <mergeCell ref="W91:Z91"/>
    <mergeCell ref="AA91:AF91"/>
    <mergeCell ref="AG91:AN91"/>
    <mergeCell ref="AO91:AR91"/>
    <mergeCell ref="E90:N90"/>
    <mergeCell ref="O90:R90"/>
    <mergeCell ref="S90:V90"/>
    <mergeCell ref="W90:Z90"/>
    <mergeCell ref="AA90:AF90"/>
    <mergeCell ref="AG90:AN90"/>
    <mergeCell ref="AO92:AR92"/>
    <mergeCell ref="C93:N93"/>
    <mergeCell ref="O93:R93"/>
    <mergeCell ref="S93:V93"/>
    <mergeCell ref="W93:Z93"/>
    <mergeCell ref="AA93:AF93"/>
    <mergeCell ref="AG93:AN93"/>
    <mergeCell ref="AO93:AR93"/>
    <mergeCell ref="C92:N92"/>
    <mergeCell ref="O92:R92"/>
    <mergeCell ref="S92:V92"/>
    <mergeCell ref="W92:Z92"/>
    <mergeCell ref="AA92:AF92"/>
    <mergeCell ref="AG92:AN92"/>
    <mergeCell ref="AO94:AR94"/>
    <mergeCell ref="C95:N95"/>
    <mergeCell ref="O95:R95"/>
    <mergeCell ref="S95:V95"/>
    <mergeCell ref="W95:Z95"/>
    <mergeCell ref="AA95:AF95"/>
    <mergeCell ref="AG95:AN95"/>
    <mergeCell ref="AO95:AR95"/>
    <mergeCell ref="C94:N94"/>
    <mergeCell ref="O94:R94"/>
    <mergeCell ref="S94:V94"/>
    <mergeCell ref="W94:Z94"/>
    <mergeCell ref="AA94:AF94"/>
    <mergeCell ref="AG94:AN94"/>
    <mergeCell ref="AO96:AR96"/>
    <mergeCell ref="C97:N97"/>
    <mergeCell ref="O97:R97"/>
    <mergeCell ref="S97:V97"/>
    <mergeCell ref="W97:Z97"/>
    <mergeCell ref="AA97:AF97"/>
    <mergeCell ref="AG97:AN97"/>
    <mergeCell ref="AO97:AR97"/>
    <mergeCell ref="C96:N96"/>
    <mergeCell ref="O96:R96"/>
    <mergeCell ref="S96:V96"/>
    <mergeCell ref="W96:Z96"/>
    <mergeCell ref="AA96:AF96"/>
    <mergeCell ref="AG96:AN96"/>
    <mergeCell ref="AO98:AR98"/>
    <mergeCell ref="C99:N99"/>
    <mergeCell ref="O99:R99"/>
    <mergeCell ref="S99:V99"/>
    <mergeCell ref="W99:Z99"/>
    <mergeCell ref="AA99:AF99"/>
    <mergeCell ref="AG99:AN99"/>
    <mergeCell ref="AO99:AR99"/>
    <mergeCell ref="C98:N98"/>
    <mergeCell ref="O98:R98"/>
    <mergeCell ref="S98:V98"/>
    <mergeCell ref="W98:Z98"/>
    <mergeCell ref="AA98:AF98"/>
    <mergeCell ref="AG98:AN98"/>
    <mergeCell ref="AO100:AR100"/>
    <mergeCell ref="C101:N101"/>
    <mergeCell ref="O101:R101"/>
    <mergeCell ref="S101:V101"/>
    <mergeCell ref="W101:Z101"/>
    <mergeCell ref="AA101:AF101"/>
    <mergeCell ref="AG101:AN101"/>
    <mergeCell ref="AO101:AR101"/>
    <mergeCell ref="C100:N100"/>
    <mergeCell ref="O100:R100"/>
    <mergeCell ref="S100:V100"/>
    <mergeCell ref="W100:Z100"/>
    <mergeCell ref="AA100:AF100"/>
    <mergeCell ref="AG100:AN100"/>
    <mergeCell ref="AO102:AR102"/>
    <mergeCell ref="C103:N103"/>
    <mergeCell ref="O103:R103"/>
    <mergeCell ref="S103:V103"/>
    <mergeCell ref="W103:Z103"/>
    <mergeCell ref="AA103:AF103"/>
    <mergeCell ref="AG103:AN103"/>
    <mergeCell ref="AO103:AR103"/>
    <mergeCell ref="C102:N102"/>
    <mergeCell ref="O102:R102"/>
    <mergeCell ref="S102:V102"/>
    <mergeCell ref="W102:Z102"/>
    <mergeCell ref="AA102:AF102"/>
    <mergeCell ref="AG102:AN102"/>
    <mergeCell ref="AO106:AR106"/>
    <mergeCell ref="C106:N106"/>
    <mergeCell ref="O106:R106"/>
    <mergeCell ref="S106:V106"/>
    <mergeCell ref="W106:Z106"/>
    <mergeCell ref="AA106:AF106"/>
    <mergeCell ref="AG106:AN106"/>
    <mergeCell ref="AO104:AR104"/>
    <mergeCell ref="C105:N105"/>
    <mergeCell ref="O105:R105"/>
    <mergeCell ref="S105:V105"/>
    <mergeCell ref="W105:Z105"/>
    <mergeCell ref="AA105:AF105"/>
    <mergeCell ref="AG105:AN105"/>
    <mergeCell ref="AO105:AR105"/>
    <mergeCell ref="C104:N104"/>
    <mergeCell ref="O104:R104"/>
    <mergeCell ref="S104:V104"/>
    <mergeCell ref="W104:Z104"/>
    <mergeCell ref="AA104:AF104"/>
    <mergeCell ref="AG104:AN104"/>
  </mergeCells>
  <phoneticPr fontId="5"/>
  <pageMargins left="0.78740157480314965" right="0.31496062992125984" top="0.39370078740157483" bottom="0.11811023622047245" header="0.39370078740157483" footer="0.11811023622047245"/>
  <pageSetup paperSize="9" fitToHeight="0" orientation="portrait" r:id="rId1"/>
  <headerFooter>
    <oddHeader>&amp;R&amp;"ＭＳ 明朝,標準"&amp;8&amp;P/&amp;N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343</vt:i4>
      </vt:variant>
    </vt:vector>
  </HeadingPairs>
  <TitlesOfParts>
    <vt:vector size="346" baseType="lpstr">
      <vt:lpstr>入力設定</vt:lpstr>
      <vt:lpstr>入力シート</vt:lpstr>
      <vt:lpstr>【印刷用】申請書</vt:lpstr>
      <vt:lpstr>ISO1認定_起算日</vt:lpstr>
      <vt:lpstr>ISO1認定_有無</vt:lpstr>
      <vt:lpstr>ISO2認定_起算日</vt:lpstr>
      <vt:lpstr>ISO2認定_有無</vt:lpstr>
      <vt:lpstr>m許可知事</vt:lpstr>
      <vt:lpstr>【印刷用】申請書!Print_Titles</vt:lpstr>
      <vt:lpstr>入力シート!Print_Titles</vt:lpstr>
      <vt:lpstr>ガ_その他</vt:lpstr>
      <vt:lpstr>ガ_一級_全数</vt:lpstr>
      <vt:lpstr>ガ_一級_内数</vt:lpstr>
      <vt:lpstr>ガ_希望</vt:lpstr>
      <vt:lpstr>ガ_区分</vt:lpstr>
      <vt:lpstr>ガ_工事高</vt:lpstr>
      <vt:lpstr>ガ_二級_全数</vt:lpstr>
      <vt:lpstr>ガ_二級_内数</vt:lpstr>
      <vt:lpstr>ガ_評点</vt:lpstr>
      <vt:lpstr>さ_その他</vt:lpstr>
      <vt:lpstr>さ_一級_全数</vt:lpstr>
      <vt:lpstr>さ_一級_内数</vt:lpstr>
      <vt:lpstr>さ_希望</vt:lpstr>
      <vt:lpstr>さ_区分</vt:lpstr>
      <vt:lpstr>さ_工事高</vt:lpstr>
      <vt:lpstr>さ_二級_全数</vt:lpstr>
      <vt:lpstr>さ_二級_内数</vt:lpstr>
      <vt:lpstr>さ_評点</vt:lpstr>
      <vt:lpstr>し_その他</vt:lpstr>
      <vt:lpstr>し_一級_全数</vt:lpstr>
      <vt:lpstr>し_一級_内数</vt:lpstr>
      <vt:lpstr>し_希望</vt:lpstr>
      <vt:lpstr>し_区分</vt:lpstr>
      <vt:lpstr>し_工事高</vt:lpstr>
      <vt:lpstr>し_二級_全数</vt:lpstr>
      <vt:lpstr>し_二級_内数</vt:lpstr>
      <vt:lpstr>し_評点</vt:lpstr>
      <vt:lpstr>タ_その他</vt:lpstr>
      <vt:lpstr>タ_一級_全数</vt:lpstr>
      <vt:lpstr>タ_一級_内数</vt:lpstr>
      <vt:lpstr>タ_希望</vt:lpstr>
      <vt:lpstr>タ_区分</vt:lpstr>
      <vt:lpstr>タ_工事高</vt:lpstr>
      <vt:lpstr>タ_二級_全数</vt:lpstr>
      <vt:lpstr>タ_二級_内数</vt:lpstr>
      <vt:lpstr>タ_評点</vt:lpstr>
      <vt:lpstr>と_その他</vt:lpstr>
      <vt:lpstr>と_一級_全数</vt:lpstr>
      <vt:lpstr>と_一級_内数</vt:lpstr>
      <vt:lpstr>と_希望</vt:lpstr>
      <vt:lpstr>と_区分</vt:lpstr>
      <vt:lpstr>と_工事高</vt:lpstr>
      <vt:lpstr>と_二級_全数</vt:lpstr>
      <vt:lpstr>と_二級_内数</vt:lpstr>
      <vt:lpstr>と_評点</vt:lpstr>
      <vt:lpstr>プ_その他</vt:lpstr>
      <vt:lpstr>プ_一級_全数</vt:lpstr>
      <vt:lpstr>プ_一級_内数</vt:lpstr>
      <vt:lpstr>プ_希望</vt:lpstr>
      <vt:lpstr>プ_区分</vt:lpstr>
      <vt:lpstr>プ_工事高</vt:lpstr>
      <vt:lpstr>プ_二級_全数</vt:lpstr>
      <vt:lpstr>プ_二級_内数</vt:lpstr>
      <vt:lpstr>プ_評点</vt:lpstr>
      <vt:lpstr>ほ_その他</vt:lpstr>
      <vt:lpstr>ほ_一級_全数</vt:lpstr>
      <vt:lpstr>ほ_一級_内数</vt:lpstr>
      <vt:lpstr>ほ_希望</vt:lpstr>
      <vt:lpstr>ほ_区分</vt:lpstr>
      <vt:lpstr>ほ_工事高</vt:lpstr>
      <vt:lpstr>ほ_二級_全数</vt:lpstr>
      <vt:lpstr>ほ_二級_内数</vt:lpstr>
      <vt:lpstr>ほ_評点</vt:lpstr>
      <vt:lpstr>委任先FAX</vt:lpstr>
      <vt:lpstr>委任先TEL</vt:lpstr>
      <vt:lpstr>委任先市町村内外区分</vt:lpstr>
      <vt:lpstr>委任先所在地</vt:lpstr>
      <vt:lpstr>委任先代表者氏名</vt:lpstr>
      <vt:lpstr>委任先代表者氏名カナ</vt:lpstr>
      <vt:lpstr>委任先代表者職名</vt:lpstr>
      <vt:lpstr>委任先名称</vt:lpstr>
      <vt:lpstr>委任先名称カナ</vt:lpstr>
      <vt:lpstr>委任先有無</vt:lpstr>
      <vt:lpstr>委任先郵便</vt:lpstr>
      <vt:lpstr>営業年数</vt:lpstr>
      <vt:lpstr>屋_その他</vt:lpstr>
      <vt:lpstr>屋_一級_全数</vt:lpstr>
      <vt:lpstr>屋_一級_内数</vt:lpstr>
      <vt:lpstr>屋_希望</vt:lpstr>
      <vt:lpstr>屋_区分</vt:lpstr>
      <vt:lpstr>屋_工事高</vt:lpstr>
      <vt:lpstr>屋_二級_全数</vt:lpstr>
      <vt:lpstr>屋_二級_内数</vt:lpstr>
      <vt:lpstr>屋_評点</vt:lpstr>
      <vt:lpstr>解_その他</vt:lpstr>
      <vt:lpstr>解_一級_全数</vt:lpstr>
      <vt:lpstr>解_一級_内数</vt:lpstr>
      <vt:lpstr>解_希望</vt:lpstr>
      <vt:lpstr>解_区分</vt:lpstr>
      <vt:lpstr>解_工事高</vt:lpstr>
      <vt:lpstr>解_二級_全数</vt:lpstr>
      <vt:lpstr>解_二級_内数</vt:lpstr>
      <vt:lpstr>解_評点</vt:lpstr>
      <vt:lpstr>管_その他</vt:lpstr>
      <vt:lpstr>管_一級_全数</vt:lpstr>
      <vt:lpstr>管_一級_内数</vt:lpstr>
      <vt:lpstr>管_希望</vt:lpstr>
      <vt:lpstr>管_区分</vt:lpstr>
      <vt:lpstr>管_工事高</vt:lpstr>
      <vt:lpstr>管_二級_全数</vt:lpstr>
      <vt:lpstr>管_二級_内数</vt:lpstr>
      <vt:lpstr>管_評点</vt:lpstr>
      <vt:lpstr>機_その他</vt:lpstr>
      <vt:lpstr>機_一級_全数</vt:lpstr>
      <vt:lpstr>機_一級_内数</vt:lpstr>
      <vt:lpstr>機_希望</vt:lpstr>
      <vt:lpstr>機_区分</vt:lpstr>
      <vt:lpstr>機_工事高</vt:lpstr>
      <vt:lpstr>機_二級_全数</vt:lpstr>
      <vt:lpstr>機_二級_内数</vt:lpstr>
      <vt:lpstr>機_評点</vt:lpstr>
      <vt:lpstr>機械保有残高</vt:lpstr>
      <vt:lpstr>許可年月日</vt:lpstr>
      <vt:lpstr>許可番号</vt:lpstr>
      <vt:lpstr>橋_その他</vt:lpstr>
      <vt:lpstr>橋_一級_全数</vt:lpstr>
      <vt:lpstr>橋_一級_内数</vt:lpstr>
      <vt:lpstr>橋_希望</vt:lpstr>
      <vt:lpstr>橋_区分</vt:lpstr>
      <vt:lpstr>橋_工事高</vt:lpstr>
      <vt:lpstr>橋_二級_全数</vt:lpstr>
      <vt:lpstr>橋_二級_内数</vt:lpstr>
      <vt:lpstr>橋_評点</vt:lpstr>
      <vt:lpstr>具_その他</vt:lpstr>
      <vt:lpstr>具_一級_全数</vt:lpstr>
      <vt:lpstr>具_一級_内数</vt:lpstr>
      <vt:lpstr>具_希望</vt:lpstr>
      <vt:lpstr>具_区分</vt:lpstr>
      <vt:lpstr>具_工事高</vt:lpstr>
      <vt:lpstr>具_二級_全数</vt:lpstr>
      <vt:lpstr>具_二級_内数</vt:lpstr>
      <vt:lpstr>具_評点</vt:lpstr>
      <vt:lpstr>経審審査基準日</vt:lpstr>
      <vt:lpstr>経審審査結果通知</vt:lpstr>
      <vt:lpstr>建_その他</vt:lpstr>
      <vt:lpstr>建_一級_全数</vt:lpstr>
      <vt:lpstr>建_一級_内数</vt:lpstr>
      <vt:lpstr>建_希望</vt:lpstr>
      <vt:lpstr>建_区分</vt:lpstr>
      <vt:lpstr>建_工事高</vt:lpstr>
      <vt:lpstr>建_二級_全数</vt:lpstr>
      <vt:lpstr>建_二級_内数</vt:lpstr>
      <vt:lpstr>建_評点</vt:lpstr>
      <vt:lpstr>個人法人区分</vt:lpstr>
      <vt:lpstr>鋼_その他</vt:lpstr>
      <vt:lpstr>鋼_一級_全数</vt:lpstr>
      <vt:lpstr>鋼_一級_内数</vt:lpstr>
      <vt:lpstr>鋼_希望</vt:lpstr>
      <vt:lpstr>鋼_区分</vt:lpstr>
      <vt:lpstr>鋼_工事高</vt:lpstr>
      <vt:lpstr>鋼_二級_全数</vt:lpstr>
      <vt:lpstr>鋼_二級_内数</vt:lpstr>
      <vt:lpstr>鋼_評点</vt:lpstr>
      <vt:lpstr>左_その他</vt:lpstr>
      <vt:lpstr>左_一級_全数</vt:lpstr>
      <vt:lpstr>左_一級_内数</vt:lpstr>
      <vt:lpstr>左_希望</vt:lpstr>
      <vt:lpstr>左_区分</vt:lpstr>
      <vt:lpstr>左_工事高</vt:lpstr>
      <vt:lpstr>左_二級_全数</vt:lpstr>
      <vt:lpstr>左_二級_内数</vt:lpstr>
      <vt:lpstr>左_評点</vt:lpstr>
      <vt:lpstr>資格_舗施管_一級</vt:lpstr>
      <vt:lpstr>資格_舗施管_二級</vt:lpstr>
      <vt:lpstr>消_その他</vt:lpstr>
      <vt:lpstr>消_一級_全数</vt:lpstr>
      <vt:lpstr>消_一級_内数</vt:lpstr>
      <vt:lpstr>消_希望</vt:lpstr>
      <vt:lpstr>消_区分</vt:lpstr>
      <vt:lpstr>消_工事高</vt:lpstr>
      <vt:lpstr>消_二級_全数</vt:lpstr>
      <vt:lpstr>消_二級_内数</vt:lpstr>
      <vt:lpstr>消_評点</vt:lpstr>
      <vt:lpstr>申請代理人FAX</vt:lpstr>
      <vt:lpstr>申請代理人TEL</vt:lpstr>
      <vt:lpstr>申請代理人氏名</vt:lpstr>
      <vt:lpstr>申請代理人氏名カナ</vt:lpstr>
      <vt:lpstr>申請代理人所在地</vt:lpstr>
      <vt:lpstr>申請代理人有無</vt:lpstr>
      <vt:lpstr>申請代理人郵便</vt:lpstr>
      <vt:lpstr>申請年月日</vt:lpstr>
      <vt:lpstr>水_その他</vt:lpstr>
      <vt:lpstr>水_一級_全数</vt:lpstr>
      <vt:lpstr>水_一級_内数</vt:lpstr>
      <vt:lpstr>水_希望</vt:lpstr>
      <vt:lpstr>水_区分</vt:lpstr>
      <vt:lpstr>水_工事高</vt:lpstr>
      <vt:lpstr>水_二級_全数</vt:lpstr>
      <vt:lpstr>水_二級_内数</vt:lpstr>
      <vt:lpstr>水_評点</vt:lpstr>
      <vt:lpstr>清_その他</vt:lpstr>
      <vt:lpstr>清_一級_全数</vt:lpstr>
      <vt:lpstr>清_一級_内数</vt:lpstr>
      <vt:lpstr>清_希望</vt:lpstr>
      <vt:lpstr>清_区分</vt:lpstr>
      <vt:lpstr>清_工事高</vt:lpstr>
      <vt:lpstr>清_二級_全数</vt:lpstr>
      <vt:lpstr>清_二級_内数</vt:lpstr>
      <vt:lpstr>清_評点</vt:lpstr>
      <vt:lpstr>石_その他</vt:lpstr>
      <vt:lpstr>石_一級_全数</vt:lpstr>
      <vt:lpstr>石_一級_内数</vt:lpstr>
      <vt:lpstr>石_希望</vt:lpstr>
      <vt:lpstr>石_区分</vt:lpstr>
      <vt:lpstr>石_工事高</vt:lpstr>
      <vt:lpstr>石_二級_全数</vt:lpstr>
      <vt:lpstr>石_二級_内数</vt:lpstr>
      <vt:lpstr>石_評点</vt:lpstr>
      <vt:lpstr>造_その他</vt:lpstr>
      <vt:lpstr>造_一級_全数</vt:lpstr>
      <vt:lpstr>造_一級_内数</vt:lpstr>
      <vt:lpstr>造_希望</vt:lpstr>
      <vt:lpstr>造_区分</vt:lpstr>
      <vt:lpstr>造_工事高</vt:lpstr>
      <vt:lpstr>造_二級_全数</vt:lpstr>
      <vt:lpstr>造_二級_内数</vt:lpstr>
      <vt:lpstr>造_評点</vt:lpstr>
      <vt:lpstr>大_その他</vt:lpstr>
      <vt:lpstr>大_一級_全数</vt:lpstr>
      <vt:lpstr>大_一級_内数</vt:lpstr>
      <vt:lpstr>大_希望</vt:lpstr>
      <vt:lpstr>大_区分</vt:lpstr>
      <vt:lpstr>大_工事高</vt:lpstr>
      <vt:lpstr>大_二級_全数</vt:lpstr>
      <vt:lpstr>大_二級_内数</vt:lpstr>
      <vt:lpstr>大_評点</vt:lpstr>
      <vt:lpstr>担当者FAX</vt:lpstr>
      <vt:lpstr>担当者TEL</vt:lpstr>
      <vt:lpstr>担当者アドレス</vt:lpstr>
      <vt:lpstr>担当者氏名</vt:lpstr>
      <vt:lpstr>担当者氏名カナ</vt:lpstr>
      <vt:lpstr>担当者部署</vt:lpstr>
      <vt:lpstr>通_その他</vt:lpstr>
      <vt:lpstr>通_一級_全数</vt:lpstr>
      <vt:lpstr>通_一級_内数</vt:lpstr>
      <vt:lpstr>通_希望</vt:lpstr>
      <vt:lpstr>通_区分</vt:lpstr>
      <vt:lpstr>通_工事高</vt:lpstr>
      <vt:lpstr>通_二級_全数</vt:lpstr>
      <vt:lpstr>通_二級_内数</vt:lpstr>
      <vt:lpstr>通_評点</vt:lpstr>
      <vt:lpstr>鉄_その他</vt:lpstr>
      <vt:lpstr>鉄_一級_全数</vt:lpstr>
      <vt:lpstr>鉄_一級_内数</vt:lpstr>
      <vt:lpstr>鉄_希望</vt:lpstr>
      <vt:lpstr>鉄_区分</vt:lpstr>
      <vt:lpstr>鉄_工事高</vt:lpstr>
      <vt:lpstr>鉄_二級_全数</vt:lpstr>
      <vt:lpstr>鉄_二級_内数</vt:lpstr>
      <vt:lpstr>鉄_評点</vt:lpstr>
      <vt:lpstr>電_その他</vt:lpstr>
      <vt:lpstr>電_一級_全数</vt:lpstr>
      <vt:lpstr>電_一級_内数</vt:lpstr>
      <vt:lpstr>電_希望</vt:lpstr>
      <vt:lpstr>電_区分</vt:lpstr>
      <vt:lpstr>電_工事高</vt:lpstr>
      <vt:lpstr>電_二級_全数</vt:lpstr>
      <vt:lpstr>電_二級_内数</vt:lpstr>
      <vt:lpstr>電_評点</vt:lpstr>
      <vt:lpstr>塗_その他</vt:lpstr>
      <vt:lpstr>塗_一級_全数</vt:lpstr>
      <vt:lpstr>塗_一級_内数</vt:lpstr>
      <vt:lpstr>塗_希望</vt:lpstr>
      <vt:lpstr>塗_区分</vt:lpstr>
      <vt:lpstr>塗_工事高</vt:lpstr>
      <vt:lpstr>塗_二級_全数</vt:lpstr>
      <vt:lpstr>塗_二級_内数</vt:lpstr>
      <vt:lpstr>塗_評点</vt:lpstr>
      <vt:lpstr>土_その他</vt:lpstr>
      <vt:lpstr>土_一級_全数</vt:lpstr>
      <vt:lpstr>土_一級_内数</vt:lpstr>
      <vt:lpstr>土_希望</vt:lpstr>
      <vt:lpstr>土_区分</vt:lpstr>
      <vt:lpstr>土_工事高</vt:lpstr>
      <vt:lpstr>土_二級_全数</vt:lpstr>
      <vt:lpstr>土_二級_内数</vt:lpstr>
      <vt:lpstr>土_評点</vt:lpstr>
      <vt:lpstr>内_その他</vt:lpstr>
      <vt:lpstr>内_一級_全数</vt:lpstr>
      <vt:lpstr>内_一級_内数</vt:lpstr>
      <vt:lpstr>内_希望</vt:lpstr>
      <vt:lpstr>内_区分</vt:lpstr>
      <vt:lpstr>内_工事高</vt:lpstr>
      <vt:lpstr>内_二級_全数</vt:lpstr>
      <vt:lpstr>内_二級_内数</vt:lpstr>
      <vt:lpstr>内_評点</vt:lpstr>
      <vt:lpstr>熱_その他</vt:lpstr>
      <vt:lpstr>熱_一級_全数</vt:lpstr>
      <vt:lpstr>熱_一級_内数</vt:lpstr>
      <vt:lpstr>熱_希望</vt:lpstr>
      <vt:lpstr>熱_区分</vt:lpstr>
      <vt:lpstr>熱_工事高</vt:lpstr>
      <vt:lpstr>熱_二級_全数</vt:lpstr>
      <vt:lpstr>熱_二級_内数</vt:lpstr>
      <vt:lpstr>熱_評点</vt:lpstr>
      <vt:lpstr>板_その他</vt:lpstr>
      <vt:lpstr>板_一級_全数</vt:lpstr>
      <vt:lpstr>板_一級_内数</vt:lpstr>
      <vt:lpstr>板_希望</vt:lpstr>
      <vt:lpstr>板_区分</vt:lpstr>
      <vt:lpstr>板_工事高</vt:lpstr>
      <vt:lpstr>板_二級_全数</vt:lpstr>
      <vt:lpstr>板_二級_内数</vt:lpstr>
      <vt:lpstr>板_評点</vt:lpstr>
      <vt:lpstr>保険加入状況</vt:lpstr>
      <vt:lpstr>法_その他</vt:lpstr>
      <vt:lpstr>法_一級_全数</vt:lpstr>
      <vt:lpstr>法_一級_内数</vt:lpstr>
      <vt:lpstr>法_希望</vt:lpstr>
      <vt:lpstr>法_区分</vt:lpstr>
      <vt:lpstr>法_工事高</vt:lpstr>
      <vt:lpstr>法_二級_全数</vt:lpstr>
      <vt:lpstr>法_二級_内数</vt:lpstr>
      <vt:lpstr>法_評点</vt:lpstr>
      <vt:lpstr>法的計画認可日</vt:lpstr>
      <vt:lpstr>法的再建手続</vt:lpstr>
      <vt:lpstr>法的申立日</vt:lpstr>
      <vt:lpstr>防_その他</vt:lpstr>
      <vt:lpstr>防_一級_全数</vt:lpstr>
      <vt:lpstr>防_一級_内数</vt:lpstr>
      <vt:lpstr>防_希望</vt:lpstr>
      <vt:lpstr>防_区分</vt:lpstr>
      <vt:lpstr>防_工事高</vt:lpstr>
      <vt:lpstr>防_二級_全数</vt:lpstr>
      <vt:lpstr>防_二級_内数</vt:lpstr>
      <vt:lpstr>防_評点</vt:lpstr>
      <vt:lpstr>本社FAX</vt:lpstr>
      <vt:lpstr>本社TEL</vt:lpstr>
      <vt:lpstr>本社市町村内外区分</vt:lpstr>
      <vt:lpstr>本社所在地</vt:lpstr>
      <vt:lpstr>本社代表者氏名</vt:lpstr>
      <vt:lpstr>本社代表者氏名カナ</vt:lpstr>
      <vt:lpstr>本社代表者職名</vt:lpstr>
      <vt:lpstr>本社名称</vt:lpstr>
      <vt:lpstr>本社名称カナ</vt:lpstr>
      <vt:lpstr>本社郵便</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temp</cp:lastModifiedBy>
  <cp:lastPrinted>2018-11-29T02:35:39Z</cp:lastPrinted>
  <dcterms:created xsi:type="dcterms:W3CDTF">2018-07-20T07:50:20Z</dcterms:created>
  <dcterms:modified xsi:type="dcterms:W3CDTF">2018-11-29T02:35:42Z</dcterms:modified>
</cp:coreProperties>
</file>