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workbookProtection workbookAlgorithmName="SHA-512" workbookHashValue="dpeaqbxGDT3qogHMFQAp3ZJsTZLRU5kMXYoUPutVF4grR8/GofllgfGz+bLRyhWn7ErstB9+ddgcdyniPqHOWA==" workbookSaltValue="lz0zucqcJJtYJ2XKzzMu5A==" workbookSpinCount="100000" lockStructure="1"/>
  <bookViews>
    <workbookView xWindow="-3315" yWindow="660" windowWidth="24240" windowHeight="11010" firstSheet="1" activeTab="4"/>
  </bookViews>
  <sheets>
    <sheet name="入力設定" sheetId="5" state="hidden" r:id="rId1"/>
    <sheet name="入力シート" sheetId="7" r:id="rId2"/>
    <sheet name="【印刷用】申請書" sheetId="8" r:id="rId3"/>
    <sheet name="【印刷用】希望業務等総括表" sheetId="9" r:id="rId4"/>
    <sheet name="【印刷用】技術職員総括表" sheetId="10" r:id="rId5"/>
  </sheets>
  <definedNames>
    <definedName name="_xlnm.Print_Titles" localSheetId="2">【印刷用】申請書!$1:$1</definedName>
    <definedName name="_xlnm.Print_Titles" localSheetId="1">入力シート!$1:$1</definedName>
    <definedName name="Pver">"2019.01"</definedName>
    <definedName name="P基準年度">"2018"</definedName>
    <definedName name="P業種">"測量・建設コンサルタント"</definedName>
    <definedName name="P業種区分">"コンサル"</definedName>
    <definedName name="P市町村名">"さぬき市"</definedName>
    <definedName name="P申請開始日">"2019/02/25"</definedName>
    <definedName name="P対象年度">"平成31・32年度"</definedName>
    <definedName name="P地区1">"市内"</definedName>
    <definedName name="R_トン_全数">入力シート!$N$211</definedName>
    <definedName name="R_トン_内数">入力シート!$Q$211</definedName>
    <definedName name="R_下水道_全数">入力シート!$N$201</definedName>
    <definedName name="R_下水道_内数">入力シート!$Q$201</definedName>
    <definedName name="R_河川_全数">入力シート!$N$195</definedName>
    <definedName name="R_河川_内数">入力シート!$Q$195</definedName>
    <definedName name="R_機械_全数">入力シート!$N$214</definedName>
    <definedName name="R_機械_内数">入力シート!$Q$214</definedName>
    <definedName name="R_建環_全数">入力シート!$N$213</definedName>
    <definedName name="R_建環_内数">入力シート!$Q$213</definedName>
    <definedName name="R_港空_全数">入力シート!$N$196</definedName>
    <definedName name="R_港空_内数">入力シート!$Q$196</definedName>
    <definedName name="R_鋼コ_全数">入力シート!$N$210</definedName>
    <definedName name="R_鋼コ_内数">入力シート!$Q$210</definedName>
    <definedName name="R_施積_全数">入力シート!$N$212</definedName>
    <definedName name="R_施積_内数">入力シート!$Q$212</definedName>
    <definedName name="R_上工水_全数">入力シート!$N$200</definedName>
    <definedName name="R_上工水_内数">入力シート!$Q$200</definedName>
    <definedName name="R_森土木_全数">入力シート!$N$203</definedName>
    <definedName name="R_森土木_内数">入力シート!$Q$203</definedName>
    <definedName name="R_水土木_全数">入力シート!$N$204</definedName>
    <definedName name="R_水土木_内数">入力シート!$Q$204</definedName>
    <definedName name="R_地質_全数">入力シート!$N$208</definedName>
    <definedName name="R_地質_内数">入力シート!$Q$208</definedName>
    <definedName name="R_鉄道_全数">入力シート!$N$199</definedName>
    <definedName name="R_鉄道_内数">入力シート!$Q$199</definedName>
    <definedName name="R_電電_全数">入力シート!$N$215</definedName>
    <definedName name="R_電電_内数">入力シート!$Q$215</definedName>
    <definedName name="R_電土_全数">入力シート!$N$197</definedName>
    <definedName name="R_電土_内数">入力シート!$Q$197</definedName>
    <definedName name="R_都計_全数">入力シート!$N$207</definedName>
    <definedName name="R_都計_内数">入力シート!$Q$207</definedName>
    <definedName name="R_都計造_全数">入力シート!$N$206</definedName>
    <definedName name="R_都計造_内数">入力シート!$Q$206</definedName>
    <definedName name="R_土基_全数">入力シート!$N$209</definedName>
    <definedName name="R_土基_内数">入力シート!$Q$209</definedName>
    <definedName name="R_道路_全数">入力シート!$N$198</definedName>
    <definedName name="R_道路_内数">入力シート!$Q$198</definedName>
    <definedName name="R_農土木_全数">入力シート!$N$202</definedName>
    <definedName name="R_農土木_内数">入力シート!$Q$202</definedName>
    <definedName name="R_廃棄物_全数">入力シート!$N$205</definedName>
    <definedName name="R_廃棄物_内数">入力シート!$Q$205</definedName>
    <definedName name="委任先FAX">入力シート!$I$73</definedName>
    <definedName name="委任先TEL">入力シート!$I$71</definedName>
    <definedName name="委任先市町村内外区分">入力シート!$I$55</definedName>
    <definedName name="委任先所在地">入力シート!$I$59</definedName>
    <definedName name="委任先代表者氏名">入力シート!$I$69</definedName>
    <definedName name="委任先代表者氏名カナ">入力シート!$I$67</definedName>
    <definedName name="委任先代表者職名">入力シート!$I$65</definedName>
    <definedName name="委任先名称">入力シート!$I$63</definedName>
    <definedName name="委任先名称カナ">入力シート!$I$61</definedName>
    <definedName name="委任先有無">入力シート!$I$14</definedName>
    <definedName name="委任先郵便">入力シート!$I$57</definedName>
    <definedName name="一管技士_全数">入力シート!$N$219</definedName>
    <definedName name="一管技士_内数">入力シート!$Q$219</definedName>
    <definedName name="一建技士_全数">入力シート!$N$217</definedName>
    <definedName name="一建技士_内数">入力シート!$Q$217</definedName>
    <definedName name="一建士_全数">入力シート!$N$149</definedName>
    <definedName name="一建士_内数">入力シート!$Q$149</definedName>
    <definedName name="一造技士_全数">入力シート!$N$220</definedName>
    <definedName name="一造技士_内数">入力シート!$Q$220</definedName>
    <definedName name="一電技士_全数">入力シート!$N$218</definedName>
    <definedName name="一電技士_内数">入力シート!$Q$218</definedName>
    <definedName name="一電技術_全数">入力シート!$N$224</definedName>
    <definedName name="一電技術_内数">入力シート!$Q$224</definedName>
    <definedName name="一土技士_全数">入力シート!$N$216</definedName>
    <definedName name="一土技士_内数">入力シート!$Q$216</definedName>
    <definedName name="一般計量_全数">入力シート!$N$223</definedName>
    <definedName name="一般計量_内数">入力シート!$Q$223</definedName>
    <definedName name="営業年数">入力シート!$I$42</definedName>
    <definedName name="環境騒振_全数">入力シート!$N$222</definedName>
    <definedName name="環境騒振_内数">入力シート!$Q$222</definedName>
    <definedName name="環境濃度_全数">入力シート!$N$221</definedName>
    <definedName name="環境濃度_内数">入力シート!$Q$221</definedName>
    <definedName name="技_トン_全数">入力シート!$N$169</definedName>
    <definedName name="技_トン_内数">入力シート!$Q$169</definedName>
    <definedName name="技_下水道_全数">入力シート!$N$159</definedName>
    <definedName name="技_下水道_内数">入力シート!$Q$159</definedName>
    <definedName name="技_河川_全数">入力シート!$N$153</definedName>
    <definedName name="技_河川_内数">入力シート!$Q$153</definedName>
    <definedName name="技_環測_全数">入力シート!$N$228</definedName>
    <definedName name="技_環測_内数">入力シート!$Q$228</definedName>
    <definedName name="技_機械_全数">入力シート!$N$172</definedName>
    <definedName name="技_機械_内数">入力シート!$Q$172</definedName>
    <definedName name="技_建環_全数">入力シート!$N$171</definedName>
    <definedName name="技_建環_内数">入力シート!$Q$171</definedName>
    <definedName name="技_港空_全数">入力シート!$N$154</definedName>
    <definedName name="技_港空_内数">入力シート!$Q$154</definedName>
    <definedName name="技_鋼コ_全数">入力シート!$N$168</definedName>
    <definedName name="技_鋼コ_内数">入力シート!$Q$168</definedName>
    <definedName name="技_施積_全数">入力シート!$N$170</definedName>
    <definedName name="技_施積_内数">入力シート!$Q$170</definedName>
    <definedName name="技_上工水_全数">入力シート!$N$158</definedName>
    <definedName name="技_上工水_内数">入力シート!$Q$158</definedName>
    <definedName name="技_情報_全数">入力シート!$N$230</definedName>
    <definedName name="技_情報_内数">入力シート!$Q$230</definedName>
    <definedName name="技_森土木_全数">入力シート!$N$161</definedName>
    <definedName name="技_森土木_内数">入力シート!$Q$161</definedName>
    <definedName name="技_水管_全数">入力シート!$N$227</definedName>
    <definedName name="技_水管_内数">入力シート!$Q$227</definedName>
    <definedName name="技_水土木_全数">入力シート!$N$162</definedName>
    <definedName name="技_水土木_内数">入力シート!$Q$162</definedName>
    <definedName name="技_地質_全数">入力シート!$N$166</definedName>
    <definedName name="技_地質_内数">入力シート!$Q$166</definedName>
    <definedName name="技_鉄道_全数">入力シート!$N$157</definedName>
    <definedName name="技_鉄道_内数">入力シート!$Q$157</definedName>
    <definedName name="技_電電_全数">入力シート!$N$173</definedName>
    <definedName name="技_電電_内数">入力シート!$Q$173</definedName>
    <definedName name="技_電土_全数">入力シート!$N$155</definedName>
    <definedName name="技_電土_内数">入力シート!$Q$155</definedName>
    <definedName name="技_都計_全数">入力シート!$N$165</definedName>
    <definedName name="技_都計_内数">入力シート!$Q$165</definedName>
    <definedName name="技_都計造_全数">入力シート!$N$164</definedName>
    <definedName name="技_都計造_内数">入力シート!$Q$164</definedName>
    <definedName name="技_土基_全数">入力シート!$N$167</definedName>
    <definedName name="技_土基_内数">入力シート!$Q$167</definedName>
    <definedName name="技_道路_全数">入力シート!$N$156</definedName>
    <definedName name="技_道路_内数">入力シート!$Q$156</definedName>
    <definedName name="技_農土木_全数">入力シート!$N$160</definedName>
    <definedName name="技_農土木_内数">入力シート!$Q$160</definedName>
    <definedName name="技_廃棄物_全数">入力シート!$N$163</definedName>
    <definedName name="技_廃棄物_内数">入力シート!$Q$163</definedName>
    <definedName name="技_保全_全数">入力シート!$N$229</definedName>
    <definedName name="技_保全_内数">入力シート!$Q$229</definedName>
    <definedName name="業種_トンネル">入力シート!$J$276</definedName>
    <definedName name="業種_トンネル_希望">入力シート!$K$276</definedName>
    <definedName name="業種_トンネル_業高">入力シート!$N$276</definedName>
    <definedName name="業種_トンネル_登録">入力シート!$M$276</definedName>
    <definedName name="業種_意匠">入力シート!$J$250</definedName>
    <definedName name="業種_意匠_希望">入力シート!$K$250</definedName>
    <definedName name="業種_営業特殊">入力シート!$J$296</definedName>
    <definedName name="業種_営業特殊_希望">入力シート!$K$296</definedName>
    <definedName name="業種_営業特殊_業高">入力シート!$N$296</definedName>
    <definedName name="業種_営業特殊_登録">入力シート!$M$296</definedName>
    <definedName name="業種_衛生">入力シート!$J$253</definedName>
    <definedName name="業種_衛生_希望">入力シート!$K$253</definedName>
    <definedName name="業種_下水道">入力シート!$J$266</definedName>
    <definedName name="業種_下水道_希望">入力シート!$K$266</definedName>
    <definedName name="業種_下水道_業高">入力シート!$N$266</definedName>
    <definedName name="業種_下水道_登録">入力シート!$M$266</definedName>
    <definedName name="業種_河川海岸">入力シート!$J$260</definedName>
    <definedName name="業種_河川海岸_希望">入力シート!$K$260</definedName>
    <definedName name="業種_河川海岸_業高">入力シート!$N$260</definedName>
    <definedName name="業種_河川海岸_登録">入力シート!$M$260</definedName>
    <definedName name="業種_環境調査">入力シート!$J$282</definedName>
    <definedName name="業種_環境調査_希望">入力シート!$K$282</definedName>
    <definedName name="業種_機械工作">入力シート!$J$295</definedName>
    <definedName name="業種_機械工作_希望">入力シート!$K$295</definedName>
    <definedName name="業種_機械工作_業高">入力シート!$N$295</definedName>
    <definedName name="業種_機械工作_登録">入力シート!$M$295</definedName>
    <definedName name="業種_機械積算">入力シート!$J$256</definedName>
    <definedName name="業種_機械積算_希望">入力シート!$K$256</definedName>
    <definedName name="業種_経済調査">入力シート!$J$283</definedName>
    <definedName name="業種_経済調査_希望">入力シート!$K$283</definedName>
    <definedName name="業種_計算業務">入力シート!$J$287</definedName>
    <definedName name="業種_計算業務_希望">入力シート!$K$287</definedName>
    <definedName name="業種_建設環境">入力シート!$J$278</definedName>
    <definedName name="業種_建設環境_希望">入力シート!$K$278</definedName>
    <definedName name="業種_建設環境_業高">入力シート!$N$278</definedName>
    <definedName name="業種_建設環境_登録">入力シート!$M$278</definedName>
    <definedName name="業種_建設機械">入力シート!$J$279</definedName>
    <definedName name="業種_建設機械_希望">入力シート!$K$279</definedName>
    <definedName name="業種_建設機械_業高">入力シート!$N$279</definedName>
    <definedName name="業種_建設機械_登録">入力シート!$M$279</definedName>
    <definedName name="業種_建設調査">入力シート!$J$258</definedName>
    <definedName name="業種_建設調査_希望">入力シート!$K$259</definedName>
    <definedName name="業種_建築一般">入力シート!$J$249</definedName>
    <definedName name="業種_建築一般_希望">入力シート!$K$249</definedName>
    <definedName name="業種_建築積算">入力シート!$J$255</definedName>
    <definedName name="業種_建築積算_希望">入力シート!$K$255</definedName>
    <definedName name="業種_交通調査">入力シート!$J$281</definedName>
    <definedName name="業種_交通調査_希望">入力シート!$K$281</definedName>
    <definedName name="業種_構造">入力シート!$J$251</definedName>
    <definedName name="業種_構造_希望">入力シート!$K$251</definedName>
    <definedName name="業種_港湾空港">入力シート!$J$261</definedName>
    <definedName name="業種_港湾空港_希望">入力シート!$K$261</definedName>
    <definedName name="業種_港湾空港_業高">入力シート!$N$261</definedName>
    <definedName name="業種_港湾空港_登録">入力シート!$M$261</definedName>
    <definedName name="業種_航空測量">入力シート!$J$248</definedName>
    <definedName name="業種_航空測量_希望">入力シート!$K$248</definedName>
    <definedName name="業種_鋼構コン">入力シート!$J$275</definedName>
    <definedName name="業種_鋼構コン_希望">入力シート!$K$275</definedName>
    <definedName name="業種_鋼構コン_業高">入力シート!$N$275</definedName>
    <definedName name="業種_鋼構コン_登録">入力シート!$M$275</definedName>
    <definedName name="業種_施工管理">入力シート!$J$289</definedName>
    <definedName name="業種_施工管理_希望">入力シート!$K$289</definedName>
    <definedName name="業種_施工積算">入力シート!$J$277</definedName>
    <definedName name="業種_施工積算_希望">入力シート!$K$277</definedName>
    <definedName name="業種_施工積算_業高">入力シート!$N$277</definedName>
    <definedName name="業種_施工積算_登録">入力シート!$M$277</definedName>
    <definedName name="業種_資料整理">入力シート!$J$288</definedName>
    <definedName name="業種_資料整理_希望">入力シート!$K$288</definedName>
    <definedName name="業種_事業損失">入力シート!$J$297</definedName>
    <definedName name="業種_事業損失_希望">入力シート!$K$297</definedName>
    <definedName name="業種_事業損失_業高">入力シート!$N$297</definedName>
    <definedName name="業種_事業損失_登録">入力シート!$M$297</definedName>
    <definedName name="業種_磁気探査">入力シート!$J$291</definedName>
    <definedName name="業種_磁気探査_希望">入力シート!$K$291</definedName>
    <definedName name="業種_上水工業">入力シート!$J$265</definedName>
    <definedName name="業種_上水工業_希望">入力シート!$K$265</definedName>
    <definedName name="業種_上水工業_業高">入力シート!$N$265</definedName>
    <definedName name="業種_上水工業_登録">入力シート!$M$265</definedName>
    <definedName name="業種_森林土木">入力シート!$J$268</definedName>
    <definedName name="業種_森林土木_希望">入力シート!$K$268</definedName>
    <definedName name="業種_森林土木_業高">入力シート!$N$268</definedName>
    <definedName name="業種_森林土木_登録">入力シート!$M$268</definedName>
    <definedName name="業種_水産土木">入力シート!$J$269</definedName>
    <definedName name="業種_水産土木_希望">入力シート!$K$269</definedName>
    <definedName name="業種_水産土木_業高">入力シート!$N$269</definedName>
    <definedName name="業種_水産土木_登録">入力シート!$M$269</definedName>
    <definedName name="業種_水質分析">入力シート!$J$284</definedName>
    <definedName name="業種_水質分析_希望">入力シート!$K$284</definedName>
    <definedName name="業種_総合補償">入力シート!$J$299</definedName>
    <definedName name="業種_総合補償_希望">入力シート!$K$299</definedName>
    <definedName name="業種_総合補償_業高">入力シート!$N$299</definedName>
    <definedName name="業種_総合補償_登録">入力シート!$M$299</definedName>
    <definedName name="業種_造園">入力シート!$J$271</definedName>
    <definedName name="業種_造園_希望">入力シート!$K$271</definedName>
    <definedName name="業種_造園_業高">入力シート!$N$271</definedName>
    <definedName name="業種_造園_登録">入力シート!$M$271</definedName>
    <definedName name="業種_測量一般">入力シート!$J$246</definedName>
    <definedName name="業種_測量一般_希望">入力シート!$K$246</definedName>
    <definedName name="業種_耐震診断">入力シート!$J$259</definedName>
    <definedName name="業種_耐震診断_希望">入力シート!$K$258</definedName>
    <definedName name="業種_宅地造成">入力シート!$J$285</definedName>
    <definedName name="業種_宅地造成_希望">入力シート!$K$285</definedName>
    <definedName name="業種_暖冷房">入力シート!$J$252</definedName>
    <definedName name="業種_暖冷房_希望">入力シート!$K$252</definedName>
    <definedName name="業種_地質調査">入力シート!$J$290</definedName>
    <definedName name="業種_地質調査_希望">入力シート!$K$290</definedName>
    <definedName name="業種_地図調整">入力シート!$J$247</definedName>
    <definedName name="業種_地図調整_希望">入力シート!$K$247</definedName>
    <definedName name="業種_鉄道">入力シート!$J$264</definedName>
    <definedName name="業種_鉄道_希望">入力シート!$K$264</definedName>
    <definedName name="業種_鉄道_業高">入力シート!$N$264</definedName>
    <definedName name="業種_鉄道_登録">入力シート!$M$264</definedName>
    <definedName name="業種_電気">入力シート!$J$254</definedName>
    <definedName name="業種_電気_希望">入力シート!$K$254</definedName>
    <definedName name="業種_電気積算">入力シート!$J$257</definedName>
    <definedName name="業種_電気積算_希望">入力シート!$K$257</definedName>
    <definedName name="業種_電気電子">入力シート!$J$280</definedName>
    <definedName name="業種_電気電子_希望">入力シート!$K$280</definedName>
    <definedName name="業種_電気電子_業高">入力シート!$N$280</definedName>
    <definedName name="業種_電気電子_登録">入力シート!$M$280</definedName>
    <definedName name="業種_電算関係">入力シート!$J$286</definedName>
    <definedName name="業種_電算関係_希望">入力シート!$K$286</definedName>
    <definedName name="業種_電力土木">入力シート!$J$262</definedName>
    <definedName name="業種_電力土木_希望">入力シート!$K$262</definedName>
    <definedName name="業種_電力土木_業高">入力シート!$N$262</definedName>
    <definedName name="業種_電力土木_登録">入力シート!$M$262</definedName>
    <definedName name="業種_登記手続">入力シート!$J$301</definedName>
    <definedName name="業種_登記手続_希望">入力シート!$K$301</definedName>
    <definedName name="業種_都地計画">入力シート!$J$272</definedName>
    <definedName name="業種_都地計画_希望">入力シート!$K$272</definedName>
    <definedName name="業種_都地計画_業高">入力シート!$N$272</definedName>
    <definedName name="業種_都地計画_登録">入力シート!$M$272</definedName>
    <definedName name="業種_土質基礎">入力シート!$J$274</definedName>
    <definedName name="業種_土質基礎_希望">入力シート!$K$274</definedName>
    <definedName name="業種_土質基礎_業高">入力シート!$N$274</definedName>
    <definedName name="業種_土質基礎_登録">入力シート!$M$274</definedName>
    <definedName name="業種_土地調査">入力シート!$J$292</definedName>
    <definedName name="業種_土地調査_希望">入力シート!$K$292</definedName>
    <definedName name="業種_土地調査_業高">入力シート!$N$292</definedName>
    <definedName name="業種_土地調査_登録">入力シート!$M$292</definedName>
    <definedName name="業種_土地評価">入力シート!$J$293</definedName>
    <definedName name="業種_土地評価_希望">入力シート!$K$293</definedName>
    <definedName name="業種_土地評価_業高">入力シート!$N$293</definedName>
    <definedName name="業種_土地評価_登録">入力シート!$M$293</definedName>
    <definedName name="業種_土木地質">入力シート!$J$273</definedName>
    <definedName name="業種_土木地質_希望">入力シート!$K$273</definedName>
    <definedName name="業種_土木地質_業高">入力シート!$N$273</definedName>
    <definedName name="業種_土木地質_登録">入力シート!$M$273</definedName>
    <definedName name="業種_道路">入力シート!$J$263</definedName>
    <definedName name="業種_道路_希望">入力シート!$K$263</definedName>
    <definedName name="業種_道路_業高">入力シート!$N$263</definedName>
    <definedName name="業種_道路_登録">入力シート!$M$263</definedName>
    <definedName name="業種_農業土木">入力シート!$J$267</definedName>
    <definedName name="業種_農業土木_希望">入力シート!$K$267</definedName>
    <definedName name="業種_農業土木_業高">入力シート!$N$267</definedName>
    <definedName name="業種_農業土木_登録">入力シート!$M$267</definedName>
    <definedName name="業種_廃棄物">入力シート!$J$270</definedName>
    <definedName name="業種_廃棄物_希望">入力シート!$K$270</definedName>
    <definedName name="業種_廃棄物_業高">入力シート!$N$270</definedName>
    <definedName name="業種_廃棄物_登録">入力シート!$M$270</definedName>
    <definedName name="業種_不動鑑定">入力シート!$J$300</definedName>
    <definedName name="業種_不動鑑定_希望">入力シート!$K$300</definedName>
    <definedName name="業種_物件">入力シート!$J$294</definedName>
    <definedName name="業種_物件_希望">入力シート!$K$294</definedName>
    <definedName name="業種_物件_業高">入力シート!$N$294</definedName>
    <definedName name="業種_物件_登録">入力シート!$M$294</definedName>
    <definedName name="業種_補償関連">入力シート!$J$298</definedName>
    <definedName name="業種_補償関連_希望">入力シート!$K$298</definedName>
    <definedName name="業種_補償関連_業高">入力シート!$N$298</definedName>
    <definedName name="業種_補償関連_登録">入力シート!$M$298</definedName>
    <definedName name="区画整理_全数">入力シート!$N$236</definedName>
    <definedName name="区画整理_内数">入力シート!$Q$236</definedName>
    <definedName name="建積者_全数">入力シート!$N$152</definedName>
    <definedName name="建積者_内数">入力シート!$Q$152</definedName>
    <definedName name="建設士_全数">入力シート!$N$151</definedName>
    <definedName name="建設士_内数">入力シート!$Q$151</definedName>
    <definedName name="個人法人区分">入力シート!$I$12</definedName>
    <definedName name="司法書士_全数">入力シート!$N$234</definedName>
    <definedName name="司法書士_内数">入力シート!$Q$234</definedName>
    <definedName name="自己資本額">入力シート!$I$117</definedName>
    <definedName name="実績高_その他_１年前">入力シート!$O$137</definedName>
    <definedName name="実績高_その他_２年前">入力シート!$I$137</definedName>
    <definedName name="実績高_その他_２年平均">入力シート!$S$137</definedName>
    <definedName name="実績高_開始日_１年前">入力シート!$I$128</definedName>
    <definedName name="実績高_開始日_２年前">入力シート!$I$126</definedName>
    <definedName name="実績高_建コン_１年前">入力シート!$O$133</definedName>
    <definedName name="実績高_建コン_２年前">入力シート!$I$133</definedName>
    <definedName name="実績高_建コン_２年平均">入力シート!$S$133</definedName>
    <definedName name="実績高_終了日_１年前">入力シート!$O$128</definedName>
    <definedName name="実績高_終了日_２年前">入力シート!$O$126</definedName>
    <definedName name="実績高_測量_１年前">入力シート!$O$132</definedName>
    <definedName name="実績高_測量_２年前">入力シート!$I$132</definedName>
    <definedName name="実績高_測量_２年平均">入力シート!$S$132</definedName>
    <definedName name="実績高_地質_１年前">入力シート!$O$135</definedName>
    <definedName name="実績高_地質_２年前">入力シート!$I$135</definedName>
    <definedName name="実績高_地質_２年平均">入力シート!$S$135</definedName>
    <definedName name="実績高_土コン_１年前">入力シート!$O$134</definedName>
    <definedName name="実績高_土コン_２年前">入力シート!$I$134</definedName>
    <definedName name="実績高_土コン_２年平均">入力シート!$S$134</definedName>
    <definedName name="実績高_補コン_１年前">入力シート!$O$136</definedName>
    <definedName name="実績高_補コン_２年前">入力シート!$I$136</definedName>
    <definedName name="実績高_補コン_２年平均">入力シート!$S$136</definedName>
    <definedName name="申請代理人FAX">入力シート!$I$108</definedName>
    <definedName name="申請代理人TEL">入力シート!$I$106</definedName>
    <definedName name="申請代理人氏名">入力シート!$I$104</definedName>
    <definedName name="申請代理人氏名カナ">入力シート!$I$102</definedName>
    <definedName name="申請代理人所在地">入力シート!$I$100</definedName>
    <definedName name="申請代理人有無">入力シート!$I$16</definedName>
    <definedName name="申請代理人郵便">入力シート!$I$98</definedName>
    <definedName name="申請年月日">入力シート!$I$10</definedName>
    <definedName name="線路技術_全数">入力シート!$N$226</definedName>
    <definedName name="線路技術_内数">入力シート!$Q$226</definedName>
    <definedName name="総_トン_全数">入力シート!$N$190</definedName>
    <definedName name="総_トン_内数">入力シート!$Q$190</definedName>
    <definedName name="総_下水道_全数">入力シート!$N$180</definedName>
    <definedName name="総_下水道_内数">入力シート!$Q$180</definedName>
    <definedName name="総_河川_全数">入力シート!$N$174</definedName>
    <definedName name="総_河川_内数">入力シート!$Q$174</definedName>
    <definedName name="総_機械_全数">入力シート!$N$193</definedName>
    <definedName name="総_機械_内数">入力シート!$Q$193</definedName>
    <definedName name="総_建環_全数">入力シート!$N$192</definedName>
    <definedName name="総_建環_内数">入力シート!$Q$192</definedName>
    <definedName name="総_港空_全数">入力シート!$N$175</definedName>
    <definedName name="総_港空_内数">入力シート!$Q$175</definedName>
    <definedName name="総_鋼コ_全数">入力シート!$N$189</definedName>
    <definedName name="総_鋼コ_内数">入力シート!$Q$189</definedName>
    <definedName name="総_施積_全数">入力シート!$N$191</definedName>
    <definedName name="総_施積_内数">入力シート!$Q$191</definedName>
    <definedName name="総_上工水_全数">入力シート!$N$179</definedName>
    <definedName name="総_上工水_内数">入力シート!$Q$179</definedName>
    <definedName name="総_森土木_全数">入力シート!$N$182</definedName>
    <definedName name="総_森土木_内数">入力シート!$Q$182</definedName>
    <definedName name="総_水土木_全数">入力シート!$N$183</definedName>
    <definedName name="総_水土木_内数">入力シート!$Q$183</definedName>
    <definedName name="総_地質_全数">入力シート!$N$187</definedName>
    <definedName name="総_地質_内数">入力シート!$Q$187</definedName>
    <definedName name="総_鉄道_全数">入力シート!$N$178</definedName>
    <definedName name="総_鉄道_内数">入力シート!$Q$178</definedName>
    <definedName name="総_電電_全数">入力シート!$N$194</definedName>
    <definedName name="総_電電_内数">入力シート!$Q$194</definedName>
    <definedName name="総_電土_全数">入力シート!$N$176</definedName>
    <definedName name="総_電土_内数">入力シート!$Q$176</definedName>
    <definedName name="総_都計_全数">入力シート!$N$186</definedName>
    <definedName name="総_都計_内数">入力シート!$Q$186</definedName>
    <definedName name="総_都計造_全数">入力シート!$N$185</definedName>
    <definedName name="総_都計造_内数">入力シート!$Q$185</definedName>
    <definedName name="総_土基_全数">入力シート!$N$188</definedName>
    <definedName name="総_土基_内数">入力シート!$Q$188</definedName>
    <definedName name="総_道路_全数">入力シート!$N$177</definedName>
    <definedName name="総_道路_内数">入力シート!$Q$177</definedName>
    <definedName name="総_農土木_全数">入力シート!$N$181</definedName>
    <definedName name="総_農土木_内数">入力シート!$Q$181</definedName>
    <definedName name="総_廃棄物_全数">入力シート!$N$184</definedName>
    <definedName name="総_廃棄物_内数">入力シート!$Q$184</definedName>
    <definedName name="測量士_全数">入力シート!$N$147</definedName>
    <definedName name="測量士_内数">入力シート!$Q$147</definedName>
    <definedName name="測量補_全数">入力シート!$N$148</definedName>
    <definedName name="測量補_内数">入力シート!$Q$148</definedName>
    <definedName name="担当者FAX">入力シート!$I$89</definedName>
    <definedName name="担当者TEL">入力シート!$I$87</definedName>
    <definedName name="担当者アドレス">入力シート!$I$91</definedName>
    <definedName name="担当者氏名">入力シート!$I$85</definedName>
    <definedName name="担当者氏名カナ">入力シート!$I$83</definedName>
    <definedName name="担当者部署">入力シート!$I$81</definedName>
    <definedName name="地質技士_全数">入力シート!$N$231</definedName>
    <definedName name="地質技士_内数">入力シート!$Q$231</definedName>
    <definedName name="直近決算日">入力シート!$I$124</definedName>
    <definedName name="伝送技術_全数">入力シート!$N$225</definedName>
    <definedName name="伝送技術_内数">入力シート!$Q$225</definedName>
    <definedName name="登録_建設コンサルタント_日">入力シート!$U$260</definedName>
    <definedName name="登録_建設コンサルタント_番号">入力シート!$S$260</definedName>
    <definedName name="登録_建築士事務所_日">入力シート!$U$249</definedName>
    <definedName name="登録_建築士事務所_番号">入力シート!$S$249</definedName>
    <definedName name="登録_測量業者_日">入力シート!$U$246</definedName>
    <definedName name="登録_測量業者_番号">入力シート!$S$246</definedName>
    <definedName name="登録_地質調査業者_日">入力シート!$U$290</definedName>
    <definedName name="登録_地質調査業者_番号">入力シート!$S$290</definedName>
    <definedName name="登録_不動産鑑定業者_日">入力シート!$U$300</definedName>
    <definedName name="登録_不動産鑑定業者_番号">入力シート!$S$300</definedName>
    <definedName name="登録_補償コンサルタント_日">入力シート!$U$292</definedName>
    <definedName name="登録_補償コンサルタント_番号">入力シート!$S$292</definedName>
    <definedName name="土家調査_全数">入力シート!$N$233</definedName>
    <definedName name="土家調査_内数">入力シート!$Q$233</definedName>
    <definedName name="二建士_全数">入力シート!$N$150</definedName>
    <definedName name="二建士_内数">入力シート!$Q$150</definedName>
    <definedName name="不動鑑定_全数">入力シート!$N$232</definedName>
    <definedName name="不動鑑定_内数">入力シート!$Q$232</definedName>
    <definedName name="払込資本金">入力シート!$I$115</definedName>
    <definedName name="補償管理_全数">入力シート!$N$235</definedName>
    <definedName name="補償管理_内数">入力シート!$Q$235</definedName>
    <definedName name="法的計画認可日">入力シート!$I$48</definedName>
    <definedName name="法的再建手続">入力シート!$I$44</definedName>
    <definedName name="法的申立日">入力シート!$I$46</definedName>
    <definedName name="本社FAX">入力シート!$I$40</definedName>
    <definedName name="本社TEL">入力シート!$I$38</definedName>
    <definedName name="本社市町村内外区分">入力シート!$I$22</definedName>
    <definedName name="本社所在地">入力シート!$I$26</definedName>
    <definedName name="本社代表者氏名">入力シート!$I$36</definedName>
    <definedName name="本社代表者氏名カナ">入力シート!$I$34</definedName>
    <definedName name="本社代表者職名">入力シート!$I$32</definedName>
    <definedName name="本社名称">入力シート!$I$30</definedName>
    <definedName name="本社名称カナ">入力シート!$I$28</definedName>
    <definedName name="本社郵便">入力シート!$I$24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7" l="1"/>
  <c r="A117" i="7" l="1"/>
  <c r="A115" i="7"/>
  <c r="A300" i="7" l="1"/>
  <c r="A299" i="7"/>
  <c r="A298" i="7"/>
  <c r="A297" i="7"/>
  <c r="A296" i="7"/>
  <c r="A295" i="7"/>
  <c r="A294" i="7"/>
  <c r="A293" i="7"/>
  <c r="A292" i="7"/>
  <c r="A280" i="7"/>
  <c r="A279" i="7"/>
  <c r="A278" i="7"/>
  <c r="A277" i="7"/>
  <c r="A276" i="7"/>
  <c r="A275" i="7"/>
  <c r="A274" i="7"/>
  <c r="A273" i="7"/>
  <c r="A272" i="7"/>
  <c r="A271" i="7"/>
  <c r="A270" i="7"/>
  <c r="A269" i="7"/>
  <c r="A268" i="7"/>
  <c r="A267" i="7"/>
  <c r="A266" i="7"/>
  <c r="A265" i="7"/>
  <c r="A264" i="7"/>
  <c r="A263" i="7"/>
  <c r="A262" i="7"/>
  <c r="A261" i="7"/>
  <c r="A260" i="7"/>
  <c r="A251" i="7"/>
  <c r="A250" i="7"/>
  <c r="A249" i="7"/>
  <c r="A248" i="7"/>
  <c r="A247" i="7"/>
  <c r="A246" i="7"/>
  <c r="A106" i="7"/>
  <c r="A104" i="7"/>
  <c r="A100" i="7"/>
  <c r="A98" i="7"/>
  <c r="A87" i="7"/>
  <c r="A85" i="7"/>
  <c r="A81" i="7"/>
  <c r="A73" i="7"/>
  <c r="A71" i="7"/>
  <c r="A69" i="7"/>
  <c r="A65" i="7"/>
  <c r="A63" i="7"/>
  <c r="A61" i="7"/>
  <c r="A59" i="7"/>
  <c r="A57" i="7"/>
  <c r="A55" i="7"/>
  <c r="A48" i="7"/>
  <c r="A46" i="7"/>
  <c r="A44" i="7"/>
  <c r="A42" i="7"/>
  <c r="A40" i="7"/>
  <c r="A38" i="7"/>
  <c r="A36" i="7"/>
  <c r="A32" i="7"/>
  <c r="A30" i="7"/>
  <c r="A28" i="7"/>
  <c r="A26" i="7"/>
  <c r="A24" i="7"/>
  <c r="A22" i="7"/>
  <c r="A16" i="7"/>
  <c r="A14" i="7"/>
  <c r="A12" i="7"/>
  <c r="A10" i="7"/>
  <c r="A3" i="7"/>
  <c r="A2" i="7"/>
  <c r="A1" i="7"/>
  <c r="U50" i="8" l="1"/>
  <c r="U39" i="8"/>
  <c r="U19" i="8"/>
  <c r="J301" i="7" l="1"/>
  <c r="J289" i="7"/>
  <c r="M41" i="8" l="1"/>
  <c r="O23" i="8" l="1"/>
  <c r="B5" i="8" l="1"/>
  <c r="J300" i="7" l="1"/>
  <c r="J299" i="7"/>
  <c r="J298" i="7"/>
  <c r="J297" i="7"/>
  <c r="J296" i="7"/>
  <c r="J295" i="7"/>
  <c r="J294" i="7"/>
  <c r="J293" i="7"/>
  <c r="J292" i="7"/>
  <c r="J291" i="7"/>
  <c r="J290" i="7"/>
  <c r="J280" i="7"/>
  <c r="J279" i="7"/>
  <c r="J278" i="7"/>
  <c r="J277" i="7"/>
  <c r="J276" i="7"/>
  <c r="J275" i="7"/>
  <c r="J274" i="7"/>
  <c r="J273" i="7"/>
  <c r="J272" i="7"/>
  <c r="J271" i="7"/>
  <c r="J270" i="7"/>
  <c r="J269" i="7"/>
  <c r="J268" i="7"/>
  <c r="J267" i="7"/>
  <c r="J266" i="7"/>
  <c r="J265" i="7"/>
  <c r="J264" i="7"/>
  <c r="J263" i="7"/>
  <c r="J262" i="7"/>
  <c r="J261" i="7"/>
  <c r="J260" i="7"/>
  <c r="J251" i="7"/>
  <c r="J250" i="7"/>
  <c r="J249" i="7"/>
  <c r="J248" i="7"/>
  <c r="J247" i="7"/>
  <c r="J246" i="7"/>
  <c r="C21" i="9"/>
  <c r="H65" i="9" l="1"/>
  <c r="H56" i="9"/>
  <c r="H52" i="9"/>
  <c r="H21" i="9"/>
  <c r="H10" i="9"/>
  <c r="Z62" i="8" l="1"/>
  <c r="Z61" i="8"/>
  <c r="P62" i="8"/>
  <c r="P61" i="8"/>
  <c r="M52" i="8"/>
  <c r="M42" i="8" l="1"/>
  <c r="H71" i="10" l="1"/>
  <c r="G71" i="10"/>
  <c r="H70" i="10"/>
  <c r="G70" i="10"/>
  <c r="H69" i="10"/>
  <c r="G69" i="10"/>
  <c r="H68" i="10"/>
  <c r="G68" i="10"/>
  <c r="H67" i="10"/>
  <c r="G67" i="10"/>
  <c r="H66" i="10"/>
  <c r="G66" i="10"/>
  <c r="H65" i="10"/>
  <c r="G65" i="10"/>
  <c r="H64" i="10"/>
  <c r="G64" i="10"/>
  <c r="H63" i="10"/>
  <c r="G63" i="10"/>
  <c r="H62" i="10"/>
  <c r="G62" i="10"/>
  <c r="H61" i="10"/>
  <c r="G61" i="10"/>
  <c r="H60" i="10"/>
  <c r="G60" i="10"/>
  <c r="H59" i="10"/>
  <c r="G59" i="10"/>
  <c r="H58" i="10"/>
  <c r="G58" i="10"/>
  <c r="H57" i="10"/>
  <c r="G57" i="10"/>
  <c r="H56" i="10"/>
  <c r="G56" i="10"/>
  <c r="H55" i="10"/>
  <c r="G55" i="10"/>
  <c r="H54" i="10"/>
  <c r="G54" i="10"/>
  <c r="H53" i="10"/>
  <c r="G53" i="10"/>
  <c r="H52" i="10"/>
  <c r="G52" i="10"/>
  <c r="H51" i="10"/>
  <c r="G51" i="10"/>
  <c r="H50" i="10"/>
  <c r="G50" i="10"/>
  <c r="H49" i="10"/>
  <c r="G49" i="10"/>
  <c r="H48" i="10"/>
  <c r="G48" i="10"/>
  <c r="H47" i="10"/>
  <c r="G47" i="10"/>
  <c r="H46" i="10"/>
  <c r="G46" i="10"/>
  <c r="H45" i="10"/>
  <c r="G45" i="10"/>
  <c r="H44" i="10"/>
  <c r="G44" i="10"/>
  <c r="H43" i="10"/>
  <c r="G43" i="10"/>
  <c r="H42" i="10"/>
  <c r="G42" i="10"/>
  <c r="H41" i="10"/>
  <c r="G41" i="10"/>
  <c r="H40" i="10"/>
  <c r="G40" i="10"/>
  <c r="H39" i="10"/>
  <c r="G39" i="10"/>
  <c r="H38" i="10"/>
  <c r="G38" i="10"/>
  <c r="H37" i="10"/>
  <c r="G37" i="10"/>
  <c r="H36" i="10"/>
  <c r="G36" i="10"/>
  <c r="H35" i="10"/>
  <c r="G35" i="10"/>
  <c r="H34" i="10"/>
  <c r="G34" i="10"/>
  <c r="H33" i="10"/>
  <c r="G33" i="10"/>
  <c r="H32" i="10"/>
  <c r="G32" i="10"/>
  <c r="H31" i="10"/>
  <c r="G31" i="10"/>
  <c r="H30" i="10"/>
  <c r="G30" i="10"/>
  <c r="N29" i="10"/>
  <c r="M29" i="10"/>
  <c r="H29" i="10"/>
  <c r="G29" i="10"/>
  <c r="N28" i="10"/>
  <c r="M28" i="10"/>
  <c r="H28" i="10"/>
  <c r="G28" i="10"/>
  <c r="N27" i="10"/>
  <c r="M27" i="10"/>
  <c r="H27" i="10"/>
  <c r="G27" i="10"/>
  <c r="N26" i="10"/>
  <c r="M26" i="10"/>
  <c r="H26" i="10"/>
  <c r="G26" i="10"/>
  <c r="N25" i="10"/>
  <c r="M25" i="10"/>
  <c r="H25" i="10"/>
  <c r="G25" i="10"/>
  <c r="N24" i="10"/>
  <c r="M24" i="10"/>
  <c r="H24" i="10"/>
  <c r="G24" i="10"/>
  <c r="N23" i="10"/>
  <c r="M23" i="10"/>
  <c r="H23" i="10"/>
  <c r="G23" i="10"/>
  <c r="N22" i="10"/>
  <c r="M22" i="10"/>
  <c r="H22" i="10"/>
  <c r="G22" i="10"/>
  <c r="N21" i="10"/>
  <c r="M21" i="10"/>
  <c r="H21" i="10"/>
  <c r="G21" i="10"/>
  <c r="N20" i="10"/>
  <c r="M20" i="10"/>
  <c r="H20" i="10"/>
  <c r="G20" i="10"/>
  <c r="N19" i="10"/>
  <c r="M19" i="10"/>
  <c r="H19" i="10"/>
  <c r="G19" i="10"/>
  <c r="N18" i="10"/>
  <c r="M18" i="10"/>
  <c r="H18" i="10"/>
  <c r="G18" i="10"/>
  <c r="N17" i="10"/>
  <c r="M17" i="10"/>
  <c r="H17" i="10"/>
  <c r="G17" i="10"/>
  <c r="N16" i="10"/>
  <c r="M16" i="10"/>
  <c r="H16" i="10"/>
  <c r="G16" i="10"/>
  <c r="N15" i="10"/>
  <c r="M15" i="10"/>
  <c r="H15" i="10"/>
  <c r="G15" i="10"/>
  <c r="N14" i="10"/>
  <c r="M14" i="10"/>
  <c r="H14" i="10"/>
  <c r="G14" i="10"/>
  <c r="N13" i="10"/>
  <c r="M13" i="10"/>
  <c r="H13" i="10"/>
  <c r="G13" i="10"/>
  <c r="N12" i="10"/>
  <c r="M12" i="10"/>
  <c r="H12" i="10"/>
  <c r="G12" i="10"/>
  <c r="N11" i="10"/>
  <c r="M11" i="10"/>
  <c r="H11" i="10"/>
  <c r="G11" i="10"/>
  <c r="N10" i="10"/>
  <c r="M10" i="10"/>
  <c r="H10" i="10"/>
  <c r="G10" i="10"/>
  <c r="N9" i="10"/>
  <c r="M9" i="10"/>
  <c r="H9" i="10"/>
  <c r="G9" i="10"/>
  <c r="H8" i="10"/>
  <c r="G8" i="10"/>
  <c r="H7" i="10"/>
  <c r="G7" i="10"/>
  <c r="H6" i="10"/>
  <c r="G6" i="10"/>
  <c r="H5" i="10"/>
  <c r="G5" i="10"/>
  <c r="H4" i="10"/>
  <c r="G4" i="10"/>
  <c r="H3" i="10"/>
  <c r="G3" i="10"/>
  <c r="J1" i="10"/>
  <c r="I65" i="9"/>
  <c r="C65" i="9"/>
  <c r="G63" i="9"/>
  <c r="D63" i="9"/>
  <c r="C63" i="9"/>
  <c r="G62" i="9"/>
  <c r="D62" i="9"/>
  <c r="C62" i="9"/>
  <c r="G61" i="9"/>
  <c r="D61" i="9"/>
  <c r="C61" i="9"/>
  <c r="G60" i="9"/>
  <c r="D60" i="9"/>
  <c r="C60" i="9"/>
  <c r="G59" i="9"/>
  <c r="D59" i="9"/>
  <c r="C59" i="9"/>
  <c r="G58" i="9"/>
  <c r="D58" i="9"/>
  <c r="C58" i="9"/>
  <c r="G57" i="9"/>
  <c r="D57" i="9"/>
  <c r="C57" i="9"/>
  <c r="I56" i="9"/>
  <c r="G56" i="9"/>
  <c r="C56" i="9"/>
  <c r="I52" i="9"/>
  <c r="C52" i="9"/>
  <c r="G41" i="9"/>
  <c r="C41" i="9"/>
  <c r="G40" i="9"/>
  <c r="C40" i="9"/>
  <c r="I39" i="9"/>
  <c r="H39" i="9"/>
  <c r="G39" i="9"/>
  <c r="C39" i="9"/>
  <c r="G38" i="9"/>
  <c r="C38" i="9"/>
  <c r="G37" i="9"/>
  <c r="C37" i="9"/>
  <c r="I36" i="9"/>
  <c r="H36" i="9"/>
  <c r="G36" i="9"/>
  <c r="C36" i="9"/>
  <c r="G35" i="9"/>
  <c r="C35" i="9"/>
  <c r="G34" i="9"/>
  <c r="C34" i="9"/>
  <c r="I33" i="9"/>
  <c r="H33" i="9"/>
  <c r="G33" i="9"/>
  <c r="C33" i="9"/>
  <c r="G32" i="9"/>
  <c r="C32" i="9"/>
  <c r="G31" i="9"/>
  <c r="C31" i="9"/>
  <c r="I30" i="9"/>
  <c r="H30" i="9"/>
  <c r="G30" i="9"/>
  <c r="C30" i="9"/>
  <c r="G29" i="9"/>
  <c r="C29" i="9"/>
  <c r="G28" i="9"/>
  <c r="C28" i="9"/>
  <c r="I27" i="9"/>
  <c r="H27" i="9"/>
  <c r="G27" i="9"/>
  <c r="C27" i="9"/>
  <c r="G26" i="9"/>
  <c r="C26" i="9"/>
  <c r="G25" i="9"/>
  <c r="C25" i="9"/>
  <c r="I24" i="9"/>
  <c r="H24" i="9"/>
  <c r="G24" i="9"/>
  <c r="C24" i="9"/>
  <c r="G23" i="9"/>
  <c r="C23" i="9"/>
  <c r="G22" i="9"/>
  <c r="C22" i="9"/>
  <c r="I21" i="9"/>
  <c r="G21" i="9"/>
  <c r="I10" i="9"/>
  <c r="C10" i="9"/>
  <c r="I7" i="9"/>
  <c r="H7" i="9"/>
  <c r="C7" i="9"/>
  <c r="G1" i="9"/>
  <c r="M74" i="8"/>
  <c r="M72" i="8"/>
  <c r="AJ69" i="8"/>
  <c r="Z69" i="8"/>
  <c r="P69" i="8"/>
  <c r="AJ68" i="8"/>
  <c r="Z68" i="8"/>
  <c r="P68" i="8"/>
  <c r="AJ67" i="8"/>
  <c r="Z67" i="8"/>
  <c r="P67" i="8"/>
  <c r="AJ66" i="8"/>
  <c r="Z66" i="8"/>
  <c r="P66" i="8"/>
  <c r="AJ65" i="8"/>
  <c r="Z65" i="8"/>
  <c r="P65" i="8"/>
  <c r="AJ64" i="8"/>
  <c r="Z64" i="8"/>
  <c r="P64" i="8"/>
  <c r="AP59" i="8"/>
  <c r="AI55" i="8"/>
  <c r="M55" i="8"/>
  <c r="M53" i="8"/>
  <c r="O50" i="8"/>
  <c r="AI47" i="8"/>
  <c r="M47" i="8"/>
  <c r="X45" i="8"/>
  <c r="M45" i="8"/>
  <c r="X44" i="8"/>
  <c r="O39" i="8"/>
  <c r="M36" i="8"/>
  <c r="AI34" i="8"/>
  <c r="M34" i="8"/>
  <c r="M32" i="8"/>
  <c r="M31" i="8"/>
  <c r="M29" i="8"/>
  <c r="AT25" i="8"/>
  <c r="AD25" i="8"/>
  <c r="M25" i="8"/>
  <c r="AI21" i="8"/>
  <c r="M21" i="8"/>
  <c r="O19" i="8"/>
  <c r="X17" i="8"/>
  <c r="M17" i="8"/>
  <c r="X16" i="8"/>
  <c r="M14" i="8"/>
  <c r="M12" i="8"/>
  <c r="M11" i="8"/>
  <c r="F7" i="8"/>
  <c r="B3" i="8"/>
  <c r="AO2" i="8"/>
  <c r="B1" i="8"/>
  <c r="Z70" i="8" l="1"/>
  <c r="P70" i="8"/>
  <c r="AJ70" i="8"/>
  <c r="D54" i="9" l="1"/>
  <c r="D65" i="9"/>
  <c r="D56" i="9"/>
  <c r="D52" i="9"/>
  <c r="D50" i="9"/>
  <c r="J288" i="7"/>
  <c r="D49" i="9" s="1"/>
  <c r="J287" i="7"/>
  <c r="J286" i="7"/>
  <c r="D47" i="9" s="1"/>
  <c r="J285" i="7"/>
  <c r="D46" i="9" s="1"/>
  <c r="J284" i="7"/>
  <c r="D45" i="9" s="1"/>
  <c r="J283" i="7"/>
  <c r="D44" i="9" s="1"/>
  <c r="J282" i="7"/>
  <c r="D43" i="9" s="1"/>
  <c r="J281" i="7"/>
  <c r="D42" i="9" s="1"/>
  <c r="D41" i="9"/>
  <c r="D40" i="9"/>
  <c r="D39" i="9"/>
  <c r="D38" i="9"/>
  <c r="D37" i="9"/>
  <c r="D36" i="9"/>
  <c r="D35" i="9"/>
  <c r="D34" i="9"/>
  <c r="D33" i="9"/>
  <c r="D32" i="9"/>
  <c r="D31" i="9"/>
  <c r="D30" i="9"/>
  <c r="D29" i="9"/>
  <c r="D28" i="9"/>
  <c r="D27" i="9"/>
  <c r="D26" i="9"/>
  <c r="D25" i="9"/>
  <c r="D24" i="9"/>
  <c r="D23" i="9"/>
  <c r="D21" i="9"/>
  <c r="D22" i="9"/>
  <c r="J259" i="7"/>
  <c r="D20" i="9" s="1"/>
  <c r="J258" i="7"/>
  <c r="D19" i="9" s="1"/>
  <c r="J257" i="7"/>
  <c r="D18" i="9" s="1"/>
  <c r="J256" i="7"/>
  <c r="D17" i="9" s="1"/>
  <c r="J255" i="7"/>
  <c r="D16" i="9" s="1"/>
  <c r="J254" i="7"/>
  <c r="D15" i="9" s="1"/>
  <c r="J253" i="7"/>
  <c r="D14" i="9" s="1"/>
  <c r="J252" i="7"/>
  <c r="D66" i="9" l="1"/>
  <c r="D13" i="9"/>
  <c r="D48" i="9"/>
  <c r="D12" i="9"/>
  <c r="D11" i="9"/>
  <c r="D9" i="9"/>
  <c r="D8" i="9"/>
  <c r="D7" i="9"/>
  <c r="I138" i="7"/>
  <c r="S138" i="7"/>
  <c r="O138" i="7"/>
  <c r="D10" i="9" l="1"/>
  <c r="C1" i="7"/>
  <c r="D1" i="5" l="1"/>
  <c r="D2" i="5" s="1"/>
  <c r="C1" i="5" s="1"/>
  <c r="A5" i="5" l="1"/>
  <c r="A2" i="5"/>
</calcChain>
</file>

<file path=xl/sharedStrings.xml><?xml version="1.0" encoding="utf-8"?>
<sst xmlns="http://schemas.openxmlformats.org/spreadsheetml/2006/main" count="944" uniqueCount="456">
  <si>
    <t>市町村内外区分</t>
    <rPh sb="0" eb="3">
      <t>シチョウソン</t>
    </rPh>
    <rPh sb="3" eb="5">
      <t>ナイガイ</t>
    </rPh>
    <rPh sb="5" eb="7">
      <t>クブン</t>
    </rPh>
    <phoneticPr fontId="6"/>
  </si>
  <si>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</si>
  <si>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</si>
  <si>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</si>
  <si>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</si>
  <si>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</si>
  <si>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</si>
  <si>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</si>
  <si>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</si>
  <si>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</si>
  <si>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営業所名称カナ</t>
    <rPh sb="0" eb="3">
      <t>エイギョウショ</t>
    </rPh>
    <rPh sb="3" eb="5">
      <t>メイショウ</t>
    </rPh>
    <phoneticPr fontId="6"/>
  </si>
  <si>
    <t>営業所名称</t>
    <rPh sb="0" eb="3">
      <t>エイギョウショ</t>
    </rPh>
    <rPh sb="3" eb="5">
      <t>メイショウ</t>
    </rPh>
    <phoneticPr fontId="6"/>
  </si>
  <si>
    <t>申請代理人氏名カナ</t>
    <rPh sb="0" eb="2">
      <t>シンセイ</t>
    </rPh>
    <rPh sb="2" eb="5">
      <t>ダイリニン</t>
    </rPh>
    <rPh sb="5" eb="7">
      <t>シメイ</t>
    </rPh>
    <phoneticPr fontId="6"/>
  </si>
  <si>
    <t>申請代理人氏名</t>
    <rPh sb="0" eb="2">
      <t>シンセイ</t>
    </rPh>
    <rPh sb="2" eb="5">
      <t>ダイリニン</t>
    </rPh>
    <rPh sb="5" eb="7">
      <t>シメイ</t>
    </rPh>
    <phoneticPr fontId="6"/>
  </si>
  <si>
    <t>営業年数</t>
    <rPh sb="0" eb="2">
      <t>エイギョウ</t>
    </rPh>
    <rPh sb="2" eb="4">
      <t>ネンスウ</t>
    </rPh>
    <phoneticPr fontId="6"/>
  </si>
  <si>
    <t>P地区区分</t>
    <rPh sb="1" eb="3">
      <t>チク</t>
    </rPh>
    <rPh sb="3" eb="5">
      <t>クブン</t>
    </rPh>
    <phoneticPr fontId="6"/>
  </si>
  <si>
    <t>国土交通大臣</t>
    <rPh sb="0" eb="2">
      <t>コクド</t>
    </rPh>
    <rPh sb="2" eb="4">
      <t>コウツウ</t>
    </rPh>
    <rPh sb="4" eb="6">
      <t>ダイジン</t>
    </rPh>
    <phoneticPr fontId="5"/>
  </si>
  <si>
    <t>北海道知事</t>
    <phoneticPr fontId="5"/>
  </si>
  <si>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</si>
  <si>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</si>
  <si>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</si>
  <si>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</si>
  <si>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</si>
  <si>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</si>
  <si>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</si>
  <si>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</si>
  <si>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</si>
  <si>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</si>
  <si>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</si>
  <si>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phoneticPr fontId="5"/>
  </si>
  <si>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</si>
  <si>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</si>
  <si>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</si>
  <si>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</si>
  <si>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</si>
  <si>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</si>
  <si>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</si>
  <si>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</si>
  <si>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</si>
  <si>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</si>
  <si>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</si>
  <si>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</si>
  <si>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phoneticPr fontId="5"/>
  </si>
  <si>
    <t>大阪府知事</t>
    <phoneticPr fontId="5"/>
  </si>
  <si>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</si>
  <si>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</si>
  <si>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</si>
  <si>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</si>
  <si>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</si>
  <si>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</si>
  <si>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</si>
  <si>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</si>
  <si>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</si>
  <si>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</si>
  <si>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</si>
  <si>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</si>
  <si>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</si>
  <si>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</si>
  <si>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</si>
  <si>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</si>
  <si>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</si>
  <si>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</si>
  <si>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</si>
  <si>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</si>
  <si>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県内</t>
    <rPh sb="0" eb="2">
      <t>ケンナイ</t>
    </rPh>
    <phoneticPr fontId="6"/>
  </si>
  <si>
    <t>県外</t>
    <rPh sb="0" eb="2">
      <t>ケンガイ</t>
    </rPh>
    <phoneticPr fontId="6"/>
  </si>
  <si>
    <t>E-mailアドレス</t>
    <phoneticPr fontId="6"/>
  </si>
  <si>
    <t>背景色が水色、またはピンク色の項目を入力してください。ピンク色は必須項目です。</t>
    <rPh sb="0" eb="3">
      <t>ハイケイショク</t>
    </rPh>
    <rPh sb="4" eb="6">
      <t>ミズイロ</t>
    </rPh>
    <rPh sb="13" eb="14">
      <t>イロ</t>
    </rPh>
    <rPh sb="15" eb="17">
      <t>コウモク</t>
    </rPh>
    <rPh sb="18" eb="20">
      <t>ニュウリョク</t>
    </rPh>
    <rPh sb="30" eb="31">
      <t>イロ</t>
    </rPh>
    <rPh sb="32" eb="34">
      <t>ヒッス</t>
    </rPh>
    <rPh sb="34" eb="36">
      <t>コウモク</t>
    </rPh>
    <phoneticPr fontId="5"/>
  </si>
  <si>
    <t>エクセルの計算方法は「自動」に設定してください。</t>
    <rPh sb="5" eb="7">
      <t>ケイサン</t>
    </rPh>
    <rPh sb="7" eb="9">
      <t>ホウホウ</t>
    </rPh>
    <rPh sb="11" eb="13">
      <t>ジドウ</t>
    </rPh>
    <rPh sb="15" eb="17">
      <t>セッテイ</t>
    </rPh>
    <phoneticPr fontId="5"/>
  </si>
  <si>
    <t>行の追加、削除、シートの変更などはできません。</t>
    <rPh sb="0" eb="1">
      <t>ギョウ</t>
    </rPh>
    <rPh sb="2" eb="4">
      <t>ツイカ</t>
    </rPh>
    <rPh sb="5" eb="7">
      <t>サクジョ</t>
    </rPh>
    <rPh sb="12" eb="14">
      <t>ヘンコウ</t>
    </rPh>
    <phoneticPr fontId="5"/>
  </si>
  <si>
    <t>申請年月日</t>
    <rPh sb="0" eb="2">
      <t>シンセイ</t>
    </rPh>
    <rPh sb="2" eb="5">
      <t>ネンガッピ</t>
    </rPh>
    <phoneticPr fontId="16"/>
  </si>
  <si>
    <t>個人・法人区分</t>
    <rPh sb="0" eb="2">
      <t>コジン</t>
    </rPh>
    <rPh sb="3" eb="5">
      <t>ホウジン</t>
    </rPh>
    <rPh sb="5" eb="7">
      <t>クブン</t>
    </rPh>
    <phoneticPr fontId="16"/>
  </si>
  <si>
    <t>委任先 有・無</t>
    <rPh sb="0" eb="2">
      <t>イニン</t>
    </rPh>
    <rPh sb="2" eb="3">
      <t>サキ</t>
    </rPh>
    <rPh sb="4" eb="5">
      <t>アリ</t>
    </rPh>
    <rPh sb="6" eb="7">
      <t>ナシ</t>
    </rPh>
    <phoneticPr fontId="16"/>
  </si>
  <si>
    <t>申請代理人 有・無</t>
    <rPh sb="0" eb="2">
      <t>シンセイ</t>
    </rPh>
    <rPh sb="2" eb="5">
      <t>ダイリニン</t>
    </rPh>
    <rPh sb="6" eb="7">
      <t>アリ</t>
    </rPh>
    <rPh sb="8" eb="9">
      <t>ナシ</t>
    </rPh>
    <phoneticPr fontId="16"/>
  </si>
  <si>
    <t>本社情報</t>
    <rPh sb="0" eb="2">
      <t>ホンシャ</t>
    </rPh>
    <rPh sb="2" eb="4">
      <t>ジョウホウ</t>
    </rPh>
    <phoneticPr fontId="5"/>
  </si>
  <si>
    <t>リストから選択してください。</t>
    <rPh sb="5" eb="7">
      <t>センタク</t>
    </rPh>
    <phoneticPr fontId="5"/>
  </si>
  <si>
    <t>＊</t>
    <phoneticPr fontId="5"/>
  </si>
  <si>
    <t xml:space="preserve"> ＊</t>
    <phoneticPr fontId="5"/>
  </si>
  <si>
    <t>基本情報</t>
    <rPh sb="0" eb="2">
      <t>キホン</t>
    </rPh>
    <rPh sb="2" eb="4">
      <t>ジョウホウ</t>
    </rPh>
    <phoneticPr fontId="5"/>
  </si>
  <si>
    <t>営業所情報</t>
    <rPh sb="0" eb="3">
      <t>エイギョウショ</t>
    </rPh>
    <rPh sb="3" eb="5">
      <t>ジョウホウ</t>
    </rPh>
    <phoneticPr fontId="5"/>
  </si>
  <si>
    <t>リストから選択してください。「有」の場合は【営業所情報】を入力してください。</t>
    <phoneticPr fontId="5"/>
  </si>
  <si>
    <t>全角カタカナで入力してください。姓と名は１文字分空けてください。</t>
    <phoneticPr fontId="5"/>
  </si>
  <si>
    <t>半角の数字と記号で入力してください。</t>
    <phoneticPr fontId="5"/>
  </si>
  <si>
    <t>姓と名は１文字分空けてください。</t>
    <phoneticPr fontId="5"/>
  </si>
  <si>
    <t>担当者情報</t>
    <rPh sb="0" eb="3">
      <t>タントウシャ</t>
    </rPh>
    <rPh sb="3" eb="5">
      <t>ジョウホウ</t>
    </rPh>
    <phoneticPr fontId="5"/>
  </si>
  <si>
    <t>申請代理人情報</t>
    <rPh sb="0" eb="2">
      <t>シンセイ</t>
    </rPh>
    <rPh sb="2" eb="5">
      <t>ダイリニン</t>
    </rPh>
    <rPh sb="5" eb="7">
      <t>ジョウホウ</t>
    </rPh>
    <phoneticPr fontId="5"/>
  </si>
  <si>
    <t>業種情報</t>
    <rPh sb="0" eb="2">
      <t>ギョウシュ</t>
    </rPh>
    <rPh sb="2" eb="4">
      <t>ジョウホウ</t>
    </rPh>
    <phoneticPr fontId="5"/>
  </si>
  <si>
    <t>*1</t>
    <phoneticPr fontId="5"/>
  </si>
  <si>
    <t>測量</t>
    <rPh sb="0" eb="2">
      <t>ソクリョウ</t>
    </rPh>
    <phoneticPr fontId="6"/>
  </si>
  <si>
    <t>土木関係建設コンサルタント</t>
    <rPh sb="0" eb="2">
      <t>ドボク</t>
    </rPh>
    <rPh sb="2" eb="4">
      <t>カンケイ</t>
    </rPh>
    <rPh sb="4" eb="6">
      <t>ケンセツ</t>
    </rPh>
    <phoneticPr fontId="6"/>
  </si>
  <si>
    <t>地質調査</t>
    <rPh sb="0" eb="2">
      <t>チシツ</t>
    </rPh>
    <rPh sb="2" eb="4">
      <t>チョウサ</t>
    </rPh>
    <phoneticPr fontId="6"/>
  </si>
  <si>
    <t>補償コンサルタント</t>
  </si>
  <si>
    <t>補償コンサルタント</t>
    <rPh sb="0" eb="2">
      <t>ホショウ</t>
    </rPh>
    <phoneticPr fontId="6"/>
  </si>
  <si>
    <t>土木関係その他業務</t>
    <rPh sb="0" eb="2">
      <t>ドボク</t>
    </rPh>
    <rPh sb="2" eb="4">
      <t>カンケイ</t>
    </rPh>
    <rPh sb="6" eb="7">
      <t>タ</t>
    </rPh>
    <rPh sb="7" eb="9">
      <t>ギョウム</t>
    </rPh>
    <phoneticPr fontId="6"/>
  </si>
  <si>
    <t>合計</t>
    <rPh sb="0" eb="2">
      <t>ゴウケイ</t>
    </rPh>
    <phoneticPr fontId="6"/>
  </si>
  <si>
    <t>営業情報</t>
    <rPh sb="0" eb="2">
      <t>エイギョウ</t>
    </rPh>
    <rPh sb="2" eb="4">
      <t>ジョウホウ</t>
    </rPh>
    <phoneticPr fontId="5"/>
  </si>
  <si>
    <t>自己資本額</t>
    <rPh sb="0" eb="2">
      <t>ジコ</t>
    </rPh>
    <rPh sb="2" eb="4">
      <t>シホン</t>
    </rPh>
    <rPh sb="4" eb="5">
      <t>ガク</t>
    </rPh>
    <phoneticPr fontId="6"/>
  </si>
  <si>
    <t>測量一般</t>
  </si>
  <si>
    <t>航空測量</t>
  </si>
  <si>
    <t>建築一般</t>
  </si>
  <si>
    <t>意匠</t>
  </si>
  <si>
    <t>構造</t>
  </si>
  <si>
    <t>衛生</t>
  </si>
  <si>
    <t>電気</t>
  </si>
  <si>
    <t>建築積算</t>
  </si>
  <si>
    <t>機械設備積算</t>
    <rPh sb="0" eb="2">
      <t>キカイ</t>
    </rPh>
    <rPh sb="2" eb="4">
      <t>セツビ</t>
    </rPh>
    <phoneticPr fontId="18"/>
  </si>
  <si>
    <t>電気設備積算</t>
    <rPh sb="2" eb="4">
      <t>セツビ</t>
    </rPh>
    <phoneticPr fontId="6"/>
  </si>
  <si>
    <t>電力土木</t>
  </si>
  <si>
    <t>道路</t>
  </si>
  <si>
    <t>鉄道</t>
  </si>
  <si>
    <t>下水道</t>
  </si>
  <si>
    <t>農業土木</t>
  </si>
  <si>
    <t>森林土木</t>
  </si>
  <si>
    <t>水産土木</t>
  </si>
  <si>
    <t>造園</t>
  </si>
  <si>
    <t>地質</t>
  </si>
  <si>
    <t>トンネル</t>
  </si>
  <si>
    <t>建設環境</t>
  </si>
  <si>
    <t>交通量調査</t>
  </si>
  <si>
    <t>環境調査</t>
  </si>
  <si>
    <t>経済調査</t>
  </si>
  <si>
    <t>宅地造成</t>
  </si>
  <si>
    <t>電算関係</t>
  </si>
  <si>
    <t>資料等整理</t>
  </si>
  <si>
    <t>施工管理</t>
  </si>
  <si>
    <t>土地調査</t>
  </si>
  <si>
    <t>土地評価</t>
  </si>
  <si>
    <t>物件</t>
  </si>
  <si>
    <t>機械工作物</t>
  </si>
  <si>
    <t>事業損失</t>
  </si>
  <si>
    <t>補償関連</t>
  </si>
  <si>
    <t>不動産鑑定</t>
  </si>
  <si>
    <t>業務高
（千円）</t>
    <rPh sb="0" eb="2">
      <t>ギョウム</t>
    </rPh>
    <rPh sb="2" eb="3">
      <t>タカ</t>
    </rPh>
    <rPh sb="5" eb="7">
      <t>センエン</t>
    </rPh>
    <phoneticPr fontId="4"/>
  </si>
  <si>
    <t>業務区分・部門</t>
    <rPh sb="0" eb="2">
      <t>ギョウム</t>
    </rPh>
    <rPh sb="2" eb="4">
      <t>クブン</t>
    </rPh>
    <rPh sb="5" eb="7">
      <t>ブモン</t>
    </rPh>
    <phoneticPr fontId="5"/>
  </si>
  <si>
    <t>地質調査業務</t>
    <rPh sb="0" eb="2">
      <t>チシツ</t>
    </rPh>
    <rPh sb="2" eb="4">
      <t>チョウサ</t>
    </rPh>
    <rPh sb="4" eb="6">
      <t>ギョウム</t>
    </rPh>
    <phoneticPr fontId="4"/>
  </si>
  <si>
    <t>登録</t>
    <rPh sb="0" eb="2">
      <t>トウロク</t>
    </rPh>
    <phoneticPr fontId="5"/>
  </si>
  <si>
    <t>登録事業名</t>
    <rPh sb="0" eb="2">
      <t>トウロク</t>
    </rPh>
    <rPh sb="2" eb="4">
      <t>ジギョウ</t>
    </rPh>
    <rPh sb="4" eb="5">
      <t>メイ</t>
    </rPh>
    <phoneticPr fontId="5"/>
  </si>
  <si>
    <t>測量業者</t>
    <rPh sb="0" eb="2">
      <t>ソクリョウ</t>
    </rPh>
    <rPh sb="2" eb="4">
      <t>ギョウシャ</t>
    </rPh>
    <phoneticPr fontId="5"/>
  </si>
  <si>
    <t>建設コンサルタント</t>
    <rPh sb="0" eb="2">
      <t>ケンセツ</t>
    </rPh>
    <phoneticPr fontId="5"/>
  </si>
  <si>
    <t>地質調査業者</t>
    <rPh sb="0" eb="2">
      <t>チシツ</t>
    </rPh>
    <rPh sb="2" eb="4">
      <t>チョウサ</t>
    </rPh>
    <rPh sb="4" eb="6">
      <t>ギョウシャ</t>
    </rPh>
    <phoneticPr fontId="5"/>
  </si>
  <si>
    <t>補償コンサルタント</t>
    <rPh sb="0" eb="2">
      <t>ホショウ</t>
    </rPh>
    <phoneticPr fontId="5"/>
  </si>
  <si>
    <t>不動産鑑定業者</t>
    <rPh sb="0" eb="3">
      <t>フドウサン</t>
    </rPh>
    <rPh sb="3" eb="5">
      <t>カンテイ</t>
    </rPh>
    <rPh sb="5" eb="7">
      <t>ギョウシャ</t>
    </rPh>
    <phoneticPr fontId="5"/>
  </si>
  <si>
    <t>リストから選択してください。「有」の場合は【申請代理人情報】を入力してください。</t>
    <rPh sb="22" eb="24">
      <t>シンセイ</t>
    </rPh>
    <rPh sb="24" eb="27">
      <t>ダイリニン</t>
    </rPh>
    <phoneticPr fontId="5"/>
  </si>
  <si>
    <t>法的再建手続</t>
    <rPh sb="0" eb="2">
      <t>ホウテキ</t>
    </rPh>
    <rPh sb="2" eb="4">
      <t>サイケン</t>
    </rPh>
    <rPh sb="4" eb="6">
      <t>テツヅキ</t>
    </rPh>
    <phoneticPr fontId="6"/>
  </si>
  <si>
    <t>法的再建手続 申立日</t>
    <rPh sb="0" eb="2">
      <t>ホウテキ</t>
    </rPh>
    <rPh sb="2" eb="4">
      <t>サイケン</t>
    </rPh>
    <rPh sb="4" eb="6">
      <t>テツヅキ</t>
    </rPh>
    <rPh sb="7" eb="9">
      <t>モウシタテ</t>
    </rPh>
    <rPh sb="9" eb="10">
      <t>ビ</t>
    </rPh>
    <phoneticPr fontId="16"/>
  </si>
  <si>
    <t>法的再建手続 計画認可日</t>
    <rPh sb="0" eb="2">
      <t>ホウテキ</t>
    </rPh>
    <rPh sb="2" eb="4">
      <t>サイケン</t>
    </rPh>
    <rPh sb="4" eb="6">
      <t>テツヅキ</t>
    </rPh>
    <rPh sb="7" eb="9">
      <t>ケイカク</t>
    </rPh>
    <rPh sb="9" eb="11">
      <t>ニンカ</t>
    </rPh>
    <rPh sb="11" eb="12">
      <t>ビ</t>
    </rPh>
    <phoneticPr fontId="16"/>
  </si>
  <si>
    <t>その他</t>
    <rPh sb="2" eb="3">
      <t>タ</t>
    </rPh>
    <phoneticPr fontId="6"/>
  </si>
  <si>
    <t>経営規模</t>
    <rPh sb="0" eb="2">
      <t>ケイエイ</t>
    </rPh>
    <rPh sb="2" eb="4">
      <t>キボ</t>
    </rPh>
    <phoneticPr fontId="5"/>
  </si>
  <si>
    <t>直近の決算日</t>
    <rPh sb="0" eb="2">
      <t>チョッキン</t>
    </rPh>
    <rPh sb="3" eb="6">
      <t>ケッサンビ</t>
    </rPh>
    <phoneticPr fontId="16"/>
  </si>
  <si>
    <t>地図の調製</t>
    <rPh sb="3" eb="5">
      <t>チョウセイ</t>
    </rPh>
    <phoneticPr fontId="6"/>
  </si>
  <si>
    <t>冷暖房</t>
    <rPh sb="0" eb="3">
      <t>レイダンボウ</t>
    </rPh>
    <phoneticPr fontId="6"/>
  </si>
  <si>
    <t>調査</t>
    <phoneticPr fontId="6"/>
  </si>
  <si>
    <t>耐震診断</t>
    <rPh sb="0" eb="2">
      <t>タイシン</t>
    </rPh>
    <rPh sb="2" eb="4">
      <t>シンダン</t>
    </rPh>
    <phoneticPr fontId="5"/>
  </si>
  <si>
    <t>河川、砂防及び海岸</t>
  </si>
  <si>
    <t>港湾及び空港</t>
  </si>
  <si>
    <t>上水道及び工業用水道</t>
    <rPh sb="9" eb="10">
      <t>ミチ</t>
    </rPh>
    <phoneticPr fontId="4"/>
  </si>
  <si>
    <t>廃棄物</t>
  </si>
  <si>
    <t>都市及び地方計画</t>
  </si>
  <si>
    <t>土質及び基礎</t>
  </si>
  <si>
    <t>鋼構造及びコンクリート</t>
  </si>
  <si>
    <t>施工計画、施工設備及び積算</t>
  </si>
  <si>
    <t>機械</t>
  </si>
  <si>
    <t>電気電子</t>
  </si>
  <si>
    <t>水質等分析</t>
    <rPh sb="0" eb="2">
      <t>スイシツ</t>
    </rPh>
    <rPh sb="2" eb="3">
      <t>トウ</t>
    </rPh>
    <rPh sb="3" eb="5">
      <t>ブンセキ</t>
    </rPh>
    <phoneticPr fontId="4"/>
  </si>
  <si>
    <t>計算</t>
  </si>
  <si>
    <t>磁気探査</t>
    <rPh sb="0" eb="2">
      <t>ジキ</t>
    </rPh>
    <rPh sb="2" eb="4">
      <t>タンサ</t>
    </rPh>
    <phoneticPr fontId="4"/>
  </si>
  <si>
    <t>営業補償・特殊補償</t>
    <rPh sb="2" eb="4">
      <t>ホショウ</t>
    </rPh>
    <phoneticPr fontId="4"/>
  </si>
  <si>
    <t>総合補償</t>
  </si>
  <si>
    <t>登記手続等</t>
    <rPh sb="0" eb="2">
      <t>トウキ</t>
    </rPh>
    <rPh sb="2" eb="4">
      <t>テツヅ</t>
    </rPh>
    <rPh sb="4" eb="5">
      <t>トウ</t>
    </rPh>
    <phoneticPr fontId="0"/>
  </si>
  <si>
    <t>項目名</t>
    <rPh sb="0" eb="2">
      <t>コウモク</t>
    </rPh>
    <rPh sb="2" eb="3">
      <t>メイ</t>
    </rPh>
    <phoneticPr fontId="6"/>
  </si>
  <si>
    <t>全体人数</t>
    <rPh sb="0" eb="2">
      <t>ゼンタイ</t>
    </rPh>
    <rPh sb="2" eb="4">
      <t>ニンズウ</t>
    </rPh>
    <phoneticPr fontId="6"/>
  </si>
  <si>
    <t>県内人数</t>
    <rPh sb="2" eb="4">
      <t>ニンズウ</t>
    </rPh>
    <phoneticPr fontId="6"/>
  </si>
  <si>
    <t>測量士</t>
    <rPh sb="0" eb="3">
      <t>ソクリョウシ</t>
    </rPh>
    <phoneticPr fontId="23"/>
  </si>
  <si>
    <t>人</t>
    <rPh sb="0" eb="1">
      <t>ニン</t>
    </rPh>
    <phoneticPr fontId="5"/>
  </si>
  <si>
    <t>測量士補</t>
    <rPh sb="0" eb="3">
      <t>ソクリョウシ</t>
    </rPh>
    <rPh sb="3" eb="4">
      <t>ホ</t>
    </rPh>
    <phoneticPr fontId="23"/>
  </si>
  <si>
    <t>一級建築士</t>
    <rPh sb="1" eb="2">
      <t>キュウ</t>
    </rPh>
    <rPh sb="2" eb="5">
      <t>ケンチクシ</t>
    </rPh>
    <phoneticPr fontId="23"/>
  </si>
  <si>
    <t>二級建築士</t>
    <rPh sb="1" eb="2">
      <t>キュウ</t>
    </rPh>
    <rPh sb="2" eb="5">
      <t>ケンチクシ</t>
    </rPh>
    <phoneticPr fontId="23"/>
  </si>
  <si>
    <t>建築設備士</t>
    <rPh sb="0" eb="2">
      <t>ケンチク</t>
    </rPh>
    <rPh sb="2" eb="4">
      <t>セツビ</t>
    </rPh>
    <rPh sb="4" eb="5">
      <t>シ</t>
    </rPh>
    <phoneticPr fontId="23"/>
  </si>
  <si>
    <t>建築積算資格者</t>
    <rPh sb="0" eb="2">
      <t>ケンチク</t>
    </rPh>
    <rPh sb="2" eb="4">
      <t>セキサン</t>
    </rPh>
    <rPh sb="4" eb="7">
      <t>シカクシャ</t>
    </rPh>
    <phoneticPr fontId="23"/>
  </si>
  <si>
    <t>技術士</t>
    <rPh sb="0" eb="2">
      <t>ギジュツ</t>
    </rPh>
    <rPh sb="2" eb="3">
      <t>シ</t>
    </rPh>
    <phoneticPr fontId="6"/>
  </si>
  <si>
    <t>建設
部門</t>
    <rPh sb="0" eb="2">
      <t>ケンセツ</t>
    </rPh>
    <rPh sb="3" eb="5">
      <t>ブモン</t>
    </rPh>
    <phoneticPr fontId="23"/>
  </si>
  <si>
    <t>河川、砂防及び海岸・海洋</t>
    <rPh sb="0" eb="2">
      <t>カセン</t>
    </rPh>
    <rPh sb="3" eb="5">
      <t>サボウ</t>
    </rPh>
    <rPh sb="5" eb="6">
      <t>オヨ</t>
    </rPh>
    <rPh sb="7" eb="9">
      <t>カイガン</t>
    </rPh>
    <rPh sb="10" eb="12">
      <t>カイヨウ</t>
    </rPh>
    <phoneticPr fontId="6"/>
  </si>
  <si>
    <t>港湾及び空港</t>
    <rPh sb="0" eb="2">
      <t>コウワン</t>
    </rPh>
    <rPh sb="2" eb="3">
      <t>オヨ</t>
    </rPh>
    <rPh sb="4" eb="6">
      <t>クウコウ</t>
    </rPh>
    <phoneticPr fontId="6"/>
  </si>
  <si>
    <t>上下
水道</t>
    <phoneticPr fontId="6"/>
  </si>
  <si>
    <t>上水道及工業用水道</t>
    <rPh sb="8" eb="9">
      <t>ミチ</t>
    </rPh>
    <phoneticPr fontId="6"/>
  </si>
  <si>
    <t>農業</t>
  </si>
  <si>
    <t>森林</t>
  </si>
  <si>
    <t>水産</t>
  </si>
  <si>
    <t>衛生工学</t>
    <phoneticPr fontId="6"/>
  </si>
  <si>
    <t>建設</t>
    <phoneticPr fontId="6"/>
  </si>
  <si>
    <t>都市及び地方計画（造園）</t>
  </si>
  <si>
    <t>応用理学</t>
    <phoneticPr fontId="6"/>
  </si>
  <si>
    <t>地質</t>
    <phoneticPr fontId="6"/>
  </si>
  <si>
    <t>総合技術監理</t>
    <phoneticPr fontId="6"/>
  </si>
  <si>
    <t>RCCM</t>
    <phoneticPr fontId="6"/>
  </si>
  <si>
    <t>１級土木施工管理技士</t>
  </si>
  <si>
    <t>１級建築施工管理技士</t>
  </si>
  <si>
    <t>１級電気工事施工管理技士</t>
  </si>
  <si>
    <t>１級管工事施工管理技士</t>
  </si>
  <si>
    <t>１級造園施工管理技士</t>
  </si>
  <si>
    <t>環境計量士</t>
  </si>
  <si>
    <t>濃度</t>
  </si>
  <si>
    <t>騒音・振動</t>
  </si>
  <si>
    <t>一般計量士</t>
  </si>
  <si>
    <t>第一種電気主任技術者</t>
  </si>
  <si>
    <t>伝送交換主任技術者</t>
  </si>
  <si>
    <t>線路主任技術者</t>
  </si>
  <si>
    <t>技術士</t>
    <phoneticPr fontId="6"/>
  </si>
  <si>
    <t>衛生工学</t>
  </si>
  <si>
    <t>水質管理</t>
  </si>
  <si>
    <t>環境</t>
  </si>
  <si>
    <t>環境測定</t>
  </si>
  <si>
    <t>自然環境保全</t>
  </si>
  <si>
    <t>情報工学</t>
  </si>
  <si>
    <t>－</t>
  </si>
  <si>
    <t>地質調査技士</t>
    <rPh sb="0" eb="2">
      <t>チシツ</t>
    </rPh>
    <rPh sb="2" eb="4">
      <t>チョウサ</t>
    </rPh>
    <rPh sb="4" eb="6">
      <t>ギシ</t>
    </rPh>
    <phoneticPr fontId="23"/>
  </si>
  <si>
    <t>不動産鑑定士</t>
  </si>
  <si>
    <t>土地家屋調査士</t>
  </si>
  <si>
    <t>司法書士</t>
    <rPh sb="0" eb="2">
      <t>シホウ</t>
    </rPh>
    <rPh sb="2" eb="4">
      <t>ショシ</t>
    </rPh>
    <phoneticPr fontId="23"/>
  </si>
  <si>
    <t>補償業務管理士</t>
    <rPh sb="0" eb="2">
      <t>ホショウ</t>
    </rPh>
    <rPh sb="2" eb="4">
      <t>ギョウム</t>
    </rPh>
    <rPh sb="4" eb="7">
      <t>カンリシ</t>
    </rPh>
    <phoneticPr fontId="23"/>
  </si>
  <si>
    <t>土地区画整理士</t>
    <rPh sb="0" eb="7">
      <t>トチクカクセイリシ</t>
    </rPh>
    <phoneticPr fontId="23"/>
  </si>
  <si>
    <t>　</t>
    <phoneticPr fontId="5"/>
  </si>
  <si>
    <t>申請者</t>
    <rPh sb="0" eb="2">
      <t>シンセイ</t>
    </rPh>
    <rPh sb="2" eb="3">
      <t>シャ</t>
    </rPh>
    <phoneticPr fontId="6"/>
  </si>
  <si>
    <t>商号又は名称</t>
    <rPh sb="0" eb="2">
      <t>ショウゴウ</t>
    </rPh>
    <rPh sb="2" eb="3">
      <t>マタ</t>
    </rPh>
    <rPh sb="4" eb="6">
      <t>メイショウ</t>
    </rPh>
    <phoneticPr fontId="22"/>
  </si>
  <si>
    <t>法人・個人</t>
    <rPh sb="0" eb="2">
      <t>ホウジン</t>
    </rPh>
    <rPh sb="3" eb="5">
      <t>コジン</t>
    </rPh>
    <phoneticPr fontId="5"/>
  </si>
  <si>
    <t>代表者職氏名</t>
    <rPh sb="0" eb="3">
      <t>ダイヒョウシャ</t>
    </rPh>
    <rPh sb="3" eb="4">
      <t>ショク</t>
    </rPh>
    <rPh sb="4" eb="5">
      <t>ウジ</t>
    </rPh>
    <rPh sb="5" eb="6">
      <t>ナ</t>
    </rPh>
    <phoneticPr fontId="22"/>
  </si>
  <si>
    <t>住所又は所在地</t>
    <phoneticPr fontId="5"/>
  </si>
  <si>
    <t>〒</t>
    <phoneticPr fontId="5"/>
  </si>
  <si>
    <t>電話番号</t>
    <rPh sb="0" eb="2">
      <t>デンワ</t>
    </rPh>
    <rPh sb="2" eb="4">
      <t>バンゴウ</t>
    </rPh>
    <phoneticPr fontId="22"/>
  </si>
  <si>
    <t>F A X 番号</t>
    <phoneticPr fontId="5"/>
  </si>
  <si>
    <t>営業年数</t>
    <rPh sb="0" eb="2">
      <t>エイギョウ</t>
    </rPh>
    <rPh sb="2" eb="4">
      <t>ネンスウ</t>
    </rPh>
    <phoneticPr fontId="22"/>
  </si>
  <si>
    <t>法的再建手続</t>
    <rPh sb="0" eb="2">
      <t>ホウテキ</t>
    </rPh>
    <rPh sb="2" eb="4">
      <t>サイケン</t>
    </rPh>
    <rPh sb="4" eb="6">
      <t>テツヅキ</t>
    </rPh>
    <phoneticPr fontId="22"/>
  </si>
  <si>
    <t>申立日</t>
    <rPh sb="0" eb="2">
      <t>モウシタテ</t>
    </rPh>
    <rPh sb="2" eb="3">
      <t>ビ</t>
    </rPh>
    <phoneticPr fontId="5"/>
  </si>
  <si>
    <t>計画認可日</t>
    <rPh sb="0" eb="2">
      <t>ケイカク</t>
    </rPh>
    <rPh sb="2" eb="4">
      <t>ニンカ</t>
    </rPh>
    <rPh sb="4" eb="5">
      <t>ビ</t>
    </rPh>
    <phoneticPr fontId="5"/>
  </si>
  <si>
    <t>担当者</t>
    <rPh sb="0" eb="3">
      <t>タントウシャ</t>
    </rPh>
    <phoneticPr fontId="6"/>
  </si>
  <si>
    <t>担当者部課名</t>
    <rPh sb="0" eb="3">
      <t>タントウシャ</t>
    </rPh>
    <rPh sb="3" eb="5">
      <t>ブカ</t>
    </rPh>
    <rPh sb="5" eb="6">
      <t>メイ</t>
    </rPh>
    <phoneticPr fontId="22"/>
  </si>
  <si>
    <t>担当者名</t>
    <rPh sb="0" eb="3">
      <t>タントウシャ</t>
    </rPh>
    <rPh sb="3" eb="4">
      <t>メイ</t>
    </rPh>
    <phoneticPr fontId="22"/>
  </si>
  <si>
    <t>メールアドレス</t>
    <phoneticPr fontId="5"/>
  </si>
  <si>
    <t>営業所</t>
    <rPh sb="0" eb="3">
      <t>エイギョウショ</t>
    </rPh>
    <phoneticPr fontId="6"/>
  </si>
  <si>
    <t>〒</t>
  </si>
  <si>
    <t>営業所名</t>
    <rPh sb="0" eb="3">
      <t>エイギョウショ</t>
    </rPh>
    <rPh sb="3" eb="4">
      <t>メイ</t>
    </rPh>
    <phoneticPr fontId="22"/>
  </si>
  <si>
    <t>行政書士</t>
    <rPh sb="0" eb="2">
      <t>ギョウセイ</t>
    </rPh>
    <rPh sb="2" eb="4">
      <t>ショシ</t>
    </rPh>
    <phoneticPr fontId="6"/>
  </si>
  <si>
    <t>行政書士名</t>
    <rPh sb="0" eb="2">
      <t>ギョウセイ</t>
    </rPh>
    <rPh sb="2" eb="4">
      <t>ショシ</t>
    </rPh>
    <rPh sb="4" eb="5">
      <t>メイ</t>
    </rPh>
    <phoneticPr fontId="5"/>
  </si>
  <si>
    <t>経営規模</t>
    <rPh sb="0" eb="2">
      <t>ケイエイ</t>
    </rPh>
    <rPh sb="2" eb="4">
      <t>キボ</t>
    </rPh>
    <phoneticPr fontId="6"/>
  </si>
  <si>
    <t>直前２年間の決算に基づく業務高</t>
    <rPh sb="4" eb="5">
      <t>カン</t>
    </rPh>
    <rPh sb="6" eb="8">
      <t>ケッサン</t>
    </rPh>
    <rPh sb="9" eb="10">
      <t>モト</t>
    </rPh>
    <rPh sb="12" eb="14">
      <t>ギョウム</t>
    </rPh>
    <rPh sb="14" eb="15">
      <t>ダカ</t>
    </rPh>
    <phoneticPr fontId="6"/>
  </si>
  <si>
    <t>直近の決算日:</t>
    <phoneticPr fontId="6"/>
  </si>
  <si>
    <t>業種</t>
    <rPh sb="0" eb="2">
      <t>ギョウシュ</t>
    </rPh>
    <phoneticPr fontId="23"/>
  </si>
  <si>
    <t>直前２年前</t>
    <rPh sb="4" eb="5">
      <t>マエ</t>
    </rPh>
    <phoneticPr fontId="6"/>
  </si>
  <si>
    <t>直前１年前</t>
    <rPh sb="4" eb="5">
      <t>マエ</t>
    </rPh>
    <phoneticPr fontId="6"/>
  </si>
  <si>
    <t>直前2ヶ年の年間平均業務高</t>
    <rPh sb="10" eb="12">
      <t>ギョウム</t>
    </rPh>
    <rPh sb="12" eb="13">
      <t>ダカ</t>
    </rPh>
    <phoneticPr fontId="6"/>
  </si>
  <si>
    <t>から</t>
    <phoneticPr fontId="23"/>
  </si>
  <si>
    <t>まで</t>
    <phoneticPr fontId="23"/>
  </si>
  <si>
    <t>（千円）</t>
    <phoneticPr fontId="6"/>
  </si>
  <si>
    <t>測　　量</t>
    <rPh sb="0" eb="1">
      <t>ハカリ</t>
    </rPh>
    <rPh sb="3" eb="4">
      <t>リョウ</t>
    </rPh>
    <phoneticPr fontId="23"/>
  </si>
  <si>
    <t>建築関係建設コンサルタント業務</t>
    <rPh sb="0" eb="2">
      <t>ケンチク</t>
    </rPh>
    <rPh sb="2" eb="4">
      <t>カンケイ</t>
    </rPh>
    <rPh sb="4" eb="6">
      <t>ケンセツ</t>
    </rPh>
    <rPh sb="13" eb="15">
      <t>ギョウム</t>
    </rPh>
    <phoneticPr fontId="23"/>
  </si>
  <si>
    <t>土木関係建設コンサルタント業務</t>
    <rPh sb="0" eb="2">
      <t>ドボク</t>
    </rPh>
    <rPh sb="2" eb="4">
      <t>カンケイ</t>
    </rPh>
    <rPh sb="4" eb="6">
      <t>ケンセツ</t>
    </rPh>
    <rPh sb="13" eb="15">
      <t>ギョウム</t>
    </rPh>
    <phoneticPr fontId="23"/>
  </si>
  <si>
    <t>地質調査業務</t>
    <rPh sb="0" eb="2">
      <t>チシツ</t>
    </rPh>
    <rPh sb="2" eb="4">
      <t>チョウサ</t>
    </rPh>
    <rPh sb="4" eb="6">
      <t>ギョウム</t>
    </rPh>
    <phoneticPr fontId="23"/>
  </si>
  <si>
    <t>補償関係コンサルタント業務</t>
    <rPh sb="0" eb="2">
      <t>ホショウ</t>
    </rPh>
    <rPh sb="2" eb="4">
      <t>カンケイ</t>
    </rPh>
    <rPh sb="11" eb="13">
      <t>ギョウム</t>
    </rPh>
    <phoneticPr fontId="23"/>
  </si>
  <si>
    <t>その他</t>
    <rPh sb="2" eb="3">
      <t>タ</t>
    </rPh>
    <phoneticPr fontId="23"/>
  </si>
  <si>
    <t>合　　　計</t>
    <rPh sb="0" eb="1">
      <t>ア</t>
    </rPh>
    <rPh sb="4" eb="5">
      <t>ケイ</t>
    </rPh>
    <phoneticPr fontId="23"/>
  </si>
  <si>
    <t>払込資本金</t>
    <rPh sb="0" eb="2">
      <t>ハライコミ</t>
    </rPh>
    <rPh sb="2" eb="4">
      <t>シホン</t>
    </rPh>
    <rPh sb="4" eb="5">
      <t>キン</t>
    </rPh>
    <phoneticPr fontId="6"/>
  </si>
  <si>
    <t>千円</t>
    <rPh sb="0" eb="2">
      <t>センエン</t>
    </rPh>
    <phoneticPr fontId="6"/>
  </si>
  <si>
    <t>自己資本金</t>
    <rPh sb="0" eb="2">
      <t>ジコ</t>
    </rPh>
    <rPh sb="2" eb="4">
      <t>シホン</t>
    </rPh>
    <rPh sb="4" eb="5">
      <t>キン</t>
    </rPh>
    <phoneticPr fontId="6"/>
  </si>
  <si>
    <t xml:space="preserve"> 希望業務等総括表</t>
    <phoneticPr fontId="23"/>
  </si>
  <si>
    <t>商号</t>
    <rPh sb="0" eb="2">
      <t>ショウゴウ</t>
    </rPh>
    <phoneticPr fontId="23"/>
  </si>
  <si>
    <r>
      <t>（注１）</t>
    </r>
    <r>
      <rPr>
        <sz val="8"/>
        <rFont val="ＭＳ ゴシック"/>
        <family val="3"/>
        <charset val="128"/>
      </rPr>
      <t>測量及び補償</t>
    </r>
    <r>
      <rPr>
        <sz val="8"/>
        <rFont val="ＭＳ 明朝"/>
        <family val="1"/>
        <charset val="128"/>
      </rPr>
      <t>の「</t>
    </r>
    <r>
      <rPr>
        <sz val="8"/>
        <rFont val="ＭＳ ゴシック"/>
        <family val="3"/>
        <charset val="128"/>
      </rPr>
      <t>鑑定</t>
    </r>
    <r>
      <rPr>
        <sz val="8"/>
        <rFont val="ＭＳ 明朝"/>
        <family val="1"/>
        <charset val="128"/>
      </rPr>
      <t>」は、登録がなければ希望することができない。</t>
    </r>
    <rPh sb="1" eb="2">
      <t>チュウ</t>
    </rPh>
    <rPh sb="4" eb="6">
      <t>ソクリョウ</t>
    </rPh>
    <rPh sb="6" eb="7">
      <t>オヨ</t>
    </rPh>
    <rPh sb="8" eb="10">
      <t>ホショウ</t>
    </rPh>
    <rPh sb="12" eb="14">
      <t>カンテイ</t>
    </rPh>
    <rPh sb="17" eb="19">
      <t>トウロク</t>
    </rPh>
    <rPh sb="24" eb="26">
      <t>キボウ</t>
    </rPh>
    <phoneticPr fontId="23"/>
  </si>
  <si>
    <r>
      <t>（注２）</t>
    </r>
    <r>
      <rPr>
        <sz val="8"/>
        <rFont val="ＭＳ ゴシック"/>
        <family val="3"/>
        <charset val="128"/>
      </rPr>
      <t>建築</t>
    </r>
    <r>
      <rPr>
        <sz val="8"/>
        <rFont val="ＭＳ 明朝"/>
        <family val="1"/>
        <charset val="128"/>
      </rPr>
      <t>は、契約締結する営業所（本店・支店等）に登録がなければ希望することができない。</t>
    </r>
    <rPh sb="1" eb="2">
      <t>チュウ</t>
    </rPh>
    <rPh sb="4" eb="6">
      <t>ケンチク</t>
    </rPh>
    <rPh sb="8" eb="10">
      <t>ケイヤク</t>
    </rPh>
    <rPh sb="10" eb="12">
      <t>テイケツ</t>
    </rPh>
    <rPh sb="14" eb="17">
      <t>エイギョウショ</t>
    </rPh>
    <rPh sb="18" eb="20">
      <t>ホンテン</t>
    </rPh>
    <rPh sb="21" eb="23">
      <t>シテン</t>
    </rPh>
    <rPh sb="23" eb="24">
      <t>トウ</t>
    </rPh>
    <rPh sb="26" eb="28">
      <t>トウロク</t>
    </rPh>
    <rPh sb="33" eb="35">
      <t>キボウ</t>
    </rPh>
    <phoneticPr fontId="23"/>
  </si>
  <si>
    <r>
      <t>（注３）</t>
    </r>
    <r>
      <rPr>
        <sz val="8"/>
        <rFont val="ＭＳ ゴシック"/>
        <family val="3"/>
        <charset val="128"/>
      </rPr>
      <t>土木</t>
    </r>
    <r>
      <rPr>
        <sz val="8"/>
        <rFont val="ＭＳ 明朝"/>
        <family val="1"/>
        <charset val="128"/>
      </rPr>
      <t>、</t>
    </r>
    <r>
      <rPr>
        <sz val="8"/>
        <rFont val="ＭＳ ゴシック"/>
        <family val="3"/>
        <charset val="128"/>
      </rPr>
      <t>補償</t>
    </r>
    <r>
      <rPr>
        <sz val="8"/>
        <rFont val="ＭＳ 明朝"/>
        <family val="1"/>
        <charset val="128"/>
      </rPr>
      <t>の「</t>
    </r>
    <r>
      <rPr>
        <sz val="8"/>
        <rFont val="ＭＳ ゴシック"/>
        <family val="3"/>
        <charset val="128"/>
      </rPr>
      <t>業務高</t>
    </r>
    <r>
      <rPr>
        <sz val="8"/>
        <rFont val="ＭＳ 明朝"/>
        <family val="1"/>
        <charset val="128"/>
      </rPr>
      <t>」は、それぞれの登録規程に基づく</t>
    </r>
    <r>
      <rPr>
        <sz val="8"/>
        <rFont val="ＭＳ ゴシック"/>
        <family val="3"/>
        <charset val="128"/>
      </rPr>
      <t>現況報告書記載の金額</t>
    </r>
    <r>
      <rPr>
        <sz val="8"/>
        <rFont val="ＭＳ 明朝"/>
        <family val="1"/>
        <charset val="128"/>
      </rPr>
      <t>を記入すること。</t>
    </r>
    <rPh sb="1" eb="2">
      <t>チュウ</t>
    </rPh>
    <rPh sb="4" eb="6">
      <t>ドボク</t>
    </rPh>
    <rPh sb="7" eb="9">
      <t>ホショウ</t>
    </rPh>
    <rPh sb="11" eb="13">
      <t>ギョウム</t>
    </rPh>
    <rPh sb="13" eb="14">
      <t>タカ</t>
    </rPh>
    <rPh sb="22" eb="24">
      <t>トウロク</t>
    </rPh>
    <rPh sb="24" eb="26">
      <t>キテイ</t>
    </rPh>
    <rPh sb="27" eb="28">
      <t>モト</t>
    </rPh>
    <rPh sb="30" eb="32">
      <t>ゲンキョウ</t>
    </rPh>
    <rPh sb="32" eb="35">
      <t>ホウコクショ</t>
    </rPh>
    <rPh sb="35" eb="37">
      <t>キサイ</t>
    </rPh>
    <rPh sb="38" eb="40">
      <t>キンガク</t>
    </rPh>
    <rPh sb="41" eb="43">
      <t>キニュウ</t>
    </rPh>
    <phoneticPr fontId="23"/>
  </si>
  <si>
    <t>業種</t>
  </si>
  <si>
    <t>登録事業名</t>
  </si>
  <si>
    <t>登録</t>
    <rPh sb="0" eb="2">
      <t>トウロク</t>
    </rPh>
    <phoneticPr fontId="23"/>
  </si>
  <si>
    <t>希望</t>
  </si>
  <si>
    <t>業務名</t>
    <rPh sb="0" eb="2">
      <t>ギョウム</t>
    </rPh>
    <rPh sb="2" eb="3">
      <t>メイ</t>
    </rPh>
    <phoneticPr fontId="23"/>
  </si>
  <si>
    <t>略号</t>
    <rPh sb="0" eb="2">
      <t>リャクゴウ</t>
    </rPh>
    <phoneticPr fontId="23"/>
  </si>
  <si>
    <r>
      <t>業務高</t>
    </r>
    <r>
      <rPr>
        <sz val="8"/>
        <rFont val="ＭＳ 明朝"/>
        <family val="1"/>
        <charset val="128"/>
      </rPr>
      <t>(千円)</t>
    </r>
    <phoneticPr fontId="23"/>
  </si>
  <si>
    <t>登録番号</t>
    <rPh sb="0" eb="2">
      <t>トウロク</t>
    </rPh>
    <rPh sb="2" eb="4">
      <t>バンゴウ</t>
    </rPh>
    <phoneticPr fontId="6"/>
  </si>
  <si>
    <t>登録年月日</t>
    <rPh sb="0" eb="2">
      <t>トウロク</t>
    </rPh>
    <rPh sb="2" eb="5">
      <t>ネンガッピ</t>
    </rPh>
    <phoneticPr fontId="23"/>
  </si>
  <si>
    <t>測量</t>
    <rPh sb="0" eb="2">
      <t>ソクリョウ</t>
    </rPh>
    <phoneticPr fontId="23"/>
  </si>
  <si>
    <t>測量</t>
    <phoneticPr fontId="23"/>
  </si>
  <si>
    <t>測量業者</t>
  </si>
  <si>
    <t>地図の調製</t>
    <rPh sb="3" eb="5">
      <t>チョウセイ</t>
    </rPh>
    <phoneticPr fontId="23"/>
  </si>
  <si>
    <t>地図</t>
    <rPh sb="0" eb="2">
      <t>チズ</t>
    </rPh>
    <phoneticPr fontId="23"/>
  </si>
  <si>
    <t>航測</t>
    <rPh sb="0" eb="1">
      <t>コウクウ</t>
    </rPh>
    <rPh sb="1" eb="2">
      <t>ソクリョウ</t>
    </rPh>
    <phoneticPr fontId="23"/>
  </si>
  <si>
    <t>建築</t>
    <rPh sb="0" eb="2">
      <t>ケンチク</t>
    </rPh>
    <phoneticPr fontId="23"/>
  </si>
  <si>
    <t>建築士事務所</t>
    <rPh sb="0" eb="3">
      <t>ケンチクシ</t>
    </rPh>
    <rPh sb="3" eb="6">
      <t>ジムショ</t>
    </rPh>
    <phoneticPr fontId="23"/>
  </si>
  <si>
    <t>意匠</t>
    <rPh sb="0" eb="2">
      <t>イショウ</t>
    </rPh>
    <phoneticPr fontId="23"/>
  </si>
  <si>
    <t>構造</t>
    <rPh sb="0" eb="2">
      <t>コウゾウ</t>
    </rPh>
    <phoneticPr fontId="23"/>
  </si>
  <si>
    <t>冷暖房</t>
  </si>
  <si>
    <t>暖冷</t>
    <rPh sb="0" eb="1">
      <t>レイダンボウ</t>
    </rPh>
    <rPh sb="1" eb="2">
      <t>レイボウ</t>
    </rPh>
    <phoneticPr fontId="23"/>
  </si>
  <si>
    <t>建築</t>
    <phoneticPr fontId="23"/>
  </si>
  <si>
    <t>衛生</t>
    <rPh sb="0" eb="2">
      <t>エイセイ</t>
    </rPh>
    <phoneticPr fontId="23"/>
  </si>
  <si>
    <t>電気</t>
    <rPh sb="0" eb="2">
      <t>デンキ</t>
    </rPh>
    <phoneticPr fontId="23"/>
  </si>
  <si>
    <t>建積</t>
    <rPh sb="0" eb="1">
      <t>ケン</t>
    </rPh>
    <rPh sb="1" eb="2">
      <t>セキサン</t>
    </rPh>
    <phoneticPr fontId="23"/>
  </si>
  <si>
    <t>機械設備積算</t>
  </si>
  <si>
    <t>機積</t>
    <rPh sb="0" eb="1">
      <t>キカイ</t>
    </rPh>
    <rPh sb="1" eb="2">
      <t>セキサン</t>
    </rPh>
    <phoneticPr fontId="23"/>
  </si>
  <si>
    <t>電気設備積算</t>
  </si>
  <si>
    <t>電積</t>
    <rPh sb="0" eb="1">
      <t>デンキ</t>
    </rPh>
    <rPh sb="1" eb="2">
      <t>セキサン</t>
    </rPh>
    <phoneticPr fontId="23"/>
  </si>
  <si>
    <t>調査</t>
  </si>
  <si>
    <t>調査</t>
    <rPh sb="0" eb="2">
      <t>チョウサ</t>
    </rPh>
    <phoneticPr fontId="23"/>
  </si>
  <si>
    <t>耐震診断</t>
  </si>
  <si>
    <t>耐震</t>
    <rPh sb="0" eb="2">
      <t>タイシン</t>
    </rPh>
    <phoneticPr fontId="23"/>
  </si>
  <si>
    <t>河川、砂防及び海岸</t>
    <phoneticPr fontId="23"/>
  </si>
  <si>
    <t>河川</t>
    <rPh sb="0" eb="2">
      <t>カセン</t>
    </rPh>
    <phoneticPr fontId="23"/>
  </si>
  <si>
    <t>港空</t>
    <rPh sb="0" eb="1">
      <t>コウワン</t>
    </rPh>
    <rPh sb="1" eb="2">
      <t>クウコウ</t>
    </rPh>
    <phoneticPr fontId="23"/>
  </si>
  <si>
    <t>電土</t>
    <rPh sb="0" eb="1">
      <t>デン</t>
    </rPh>
    <rPh sb="1" eb="2">
      <t>ド</t>
    </rPh>
    <phoneticPr fontId="23"/>
  </si>
  <si>
    <t>道路</t>
    <rPh sb="0" eb="2">
      <t>ドウロ</t>
    </rPh>
    <phoneticPr fontId="23"/>
  </si>
  <si>
    <t>鉄道</t>
    <rPh sb="0" eb="2">
      <t>テツドウ</t>
    </rPh>
    <phoneticPr fontId="23"/>
  </si>
  <si>
    <t>上水道及び工業用水道</t>
  </si>
  <si>
    <t>上水</t>
    <rPh sb="0" eb="2">
      <t>ジョウスイ</t>
    </rPh>
    <phoneticPr fontId="23"/>
  </si>
  <si>
    <t>下水</t>
    <rPh sb="0" eb="2">
      <t>ゲスイ</t>
    </rPh>
    <phoneticPr fontId="23"/>
  </si>
  <si>
    <t>農業</t>
    <rPh sb="0" eb="2">
      <t>ノウギョウ</t>
    </rPh>
    <phoneticPr fontId="23"/>
  </si>
  <si>
    <t>森林</t>
    <rPh sb="0" eb="2">
      <t>シンリン</t>
    </rPh>
    <phoneticPr fontId="23"/>
  </si>
  <si>
    <t>建設コンサルタント</t>
  </si>
  <si>
    <t>水産</t>
    <rPh sb="0" eb="2">
      <t>スイサン</t>
    </rPh>
    <phoneticPr fontId="23"/>
  </si>
  <si>
    <t>廃棄物</t>
    <phoneticPr fontId="23"/>
  </si>
  <si>
    <t>廃棄</t>
    <rPh sb="0" eb="2">
      <t>ハイキ</t>
    </rPh>
    <phoneticPr fontId="23"/>
  </si>
  <si>
    <t>造園</t>
    <rPh sb="0" eb="2">
      <t>ゾウエン</t>
    </rPh>
    <phoneticPr fontId="23"/>
  </si>
  <si>
    <t>土木</t>
    <phoneticPr fontId="23"/>
  </si>
  <si>
    <t>都計</t>
    <rPh sb="0" eb="1">
      <t>トシ</t>
    </rPh>
    <rPh sb="1" eb="2">
      <t>ケイカク</t>
    </rPh>
    <phoneticPr fontId="23"/>
  </si>
  <si>
    <t>地質</t>
    <rPh sb="0" eb="2">
      <t>チシツ</t>
    </rPh>
    <phoneticPr fontId="23"/>
  </si>
  <si>
    <t>土基</t>
    <rPh sb="0" eb="1">
      <t>ド</t>
    </rPh>
    <rPh sb="1" eb="2">
      <t>キソ</t>
    </rPh>
    <phoneticPr fontId="23"/>
  </si>
  <si>
    <t>鋼構</t>
    <rPh sb="0" eb="2">
      <t>コウコウ</t>
    </rPh>
    <phoneticPr fontId="23"/>
  </si>
  <si>
    <t>トン</t>
    <phoneticPr fontId="23"/>
  </si>
  <si>
    <t>施工</t>
    <rPh sb="0" eb="2">
      <t>セコウ</t>
    </rPh>
    <phoneticPr fontId="23"/>
  </si>
  <si>
    <t>建環</t>
    <rPh sb="0" eb="1">
      <t>ケンセツ</t>
    </rPh>
    <rPh sb="1" eb="2">
      <t>カンキョウ</t>
    </rPh>
    <phoneticPr fontId="23"/>
  </si>
  <si>
    <t>機械</t>
    <rPh sb="0" eb="2">
      <t>ケンセツキカイ</t>
    </rPh>
    <phoneticPr fontId="23"/>
  </si>
  <si>
    <t>機械</t>
    <rPh sb="0" eb="2">
      <t>キカイ</t>
    </rPh>
    <phoneticPr fontId="23"/>
  </si>
  <si>
    <t>電気電子</t>
    <rPh sb="0" eb="1">
      <t>デンシ</t>
    </rPh>
    <rPh sb="1" eb="2">
      <t>キ</t>
    </rPh>
    <rPh sb="2" eb="4">
      <t>デンシ</t>
    </rPh>
    <phoneticPr fontId="23"/>
  </si>
  <si>
    <t>電電</t>
    <rPh sb="0" eb="1">
      <t>デンデン</t>
    </rPh>
    <rPh sb="1" eb="2">
      <t>デン</t>
    </rPh>
    <phoneticPr fontId="23"/>
  </si>
  <si>
    <t>交通</t>
    <rPh sb="0" eb="2">
      <t>コウツウ</t>
    </rPh>
    <phoneticPr fontId="23"/>
  </si>
  <si>
    <t>環境</t>
    <rPh sb="0" eb="2">
      <t>カンキョウ</t>
    </rPh>
    <phoneticPr fontId="23"/>
  </si>
  <si>
    <t>経済</t>
    <rPh sb="0" eb="2">
      <t>ケイザイ</t>
    </rPh>
    <phoneticPr fontId="23"/>
  </si>
  <si>
    <t>水質等分析</t>
  </si>
  <si>
    <t>水質</t>
    <rPh sb="0" eb="2">
      <t>スイシツ</t>
    </rPh>
    <phoneticPr fontId="23"/>
  </si>
  <si>
    <t>宅造</t>
    <rPh sb="0" eb="1">
      <t>タクチ</t>
    </rPh>
    <rPh sb="1" eb="2">
      <t>ゾウセイ</t>
    </rPh>
    <phoneticPr fontId="23"/>
  </si>
  <si>
    <t>電算</t>
    <rPh sb="0" eb="2">
      <t>デンサン</t>
    </rPh>
    <phoneticPr fontId="23"/>
  </si>
  <si>
    <t>計算</t>
    <rPh sb="0" eb="2">
      <t>ケイサン</t>
    </rPh>
    <phoneticPr fontId="23"/>
  </si>
  <si>
    <t>資料</t>
    <rPh sb="0" eb="2">
      <t>シリョウ</t>
    </rPh>
    <phoneticPr fontId="23"/>
  </si>
  <si>
    <t>施工管理</t>
    <rPh sb="0" eb="2">
      <t>セコウ</t>
    </rPh>
    <rPh sb="2" eb="4">
      <t>カンリ</t>
    </rPh>
    <phoneticPr fontId="23"/>
  </si>
  <si>
    <t>管理</t>
    <rPh sb="0" eb="2">
      <t>カンリ</t>
    </rPh>
    <phoneticPr fontId="23"/>
  </si>
  <si>
    <t>地質</t>
    <phoneticPr fontId="23"/>
  </si>
  <si>
    <t>地質調査業者</t>
  </si>
  <si>
    <t>磁気探査</t>
  </si>
  <si>
    <t>磁探</t>
    <rPh sb="0" eb="1">
      <t>ジキ</t>
    </rPh>
    <rPh sb="1" eb="2">
      <t>タンサ</t>
    </rPh>
    <phoneticPr fontId="23"/>
  </si>
  <si>
    <t>土地</t>
    <rPh sb="0" eb="2">
      <t>トチ</t>
    </rPh>
    <phoneticPr fontId="23"/>
  </si>
  <si>
    <t>土評</t>
    <rPh sb="0" eb="1">
      <t>ド</t>
    </rPh>
    <rPh sb="1" eb="2">
      <t>ヒョウカ</t>
    </rPh>
    <phoneticPr fontId="23"/>
  </si>
  <si>
    <t>物件</t>
    <rPh sb="0" eb="2">
      <t>ブッケン</t>
    </rPh>
    <phoneticPr fontId="23"/>
  </si>
  <si>
    <t>補償</t>
    <phoneticPr fontId="23"/>
  </si>
  <si>
    <t>機工</t>
    <rPh sb="0" eb="1">
      <t>キカイ</t>
    </rPh>
    <rPh sb="1" eb="2">
      <t>コウサク</t>
    </rPh>
    <phoneticPr fontId="23"/>
  </si>
  <si>
    <t>営業補償・特殊補償</t>
  </si>
  <si>
    <t>営業</t>
    <rPh sb="0" eb="2">
      <t>エイギョウ</t>
    </rPh>
    <phoneticPr fontId="23"/>
  </si>
  <si>
    <t>事業</t>
    <rPh sb="0" eb="2">
      <t>ジギョウ</t>
    </rPh>
    <phoneticPr fontId="23"/>
  </si>
  <si>
    <t>補償関連</t>
    <phoneticPr fontId="23"/>
  </si>
  <si>
    <t>関連</t>
    <rPh sb="0" eb="2">
      <t>カンレン</t>
    </rPh>
    <phoneticPr fontId="23"/>
  </si>
  <si>
    <t>総合補償</t>
    <rPh sb="0" eb="2">
      <t>ソウゴウ</t>
    </rPh>
    <rPh sb="2" eb="4">
      <t>ホショウ</t>
    </rPh>
    <phoneticPr fontId="23"/>
  </si>
  <si>
    <t>総補</t>
    <rPh sb="0" eb="1">
      <t>ソウ</t>
    </rPh>
    <rPh sb="1" eb="2">
      <t>ホ</t>
    </rPh>
    <phoneticPr fontId="23"/>
  </si>
  <si>
    <t>不動産鑑定業者</t>
  </si>
  <si>
    <t>鑑定</t>
    <rPh sb="0" eb="2">
      <t>カンテイ</t>
    </rPh>
    <phoneticPr fontId="23"/>
  </si>
  <si>
    <t>登記手続等</t>
  </si>
  <si>
    <t>登記</t>
    <rPh sb="0" eb="2">
      <t>トウキ</t>
    </rPh>
    <phoneticPr fontId="23"/>
  </si>
  <si>
    <t>１．技術職員総括表（資格別人数）</t>
    <phoneticPr fontId="23"/>
  </si>
  <si>
    <t>商号</t>
  </si>
  <si>
    <t>コード</t>
  </si>
  <si>
    <t>資格の名称</t>
  </si>
  <si>
    <t>部門</t>
  </si>
  <si>
    <t>業務内容</t>
  </si>
  <si>
    <t>選択科目</t>
  </si>
  <si>
    <t>全体</t>
  </si>
  <si>
    <t>県内</t>
  </si>
  <si>
    <t xml:space="preserve"> （注１）直接雇用の常勤の技術者について記入すること。</t>
  </si>
  <si>
    <t>測量士</t>
  </si>
  <si>
    <t xml:space="preserve"> （注２）申請業種に関係なく、有する資格すべて記入すること。</t>
  </si>
  <si>
    <t>測量士補</t>
  </si>
  <si>
    <t>　　　実務経験者は除く。</t>
    <rPh sb="3" eb="5">
      <t>ジツム</t>
    </rPh>
    <rPh sb="5" eb="7">
      <t>ケイケン</t>
    </rPh>
    <rPh sb="7" eb="8">
      <t>シャ</t>
    </rPh>
    <rPh sb="9" eb="10">
      <t>ノゾ</t>
    </rPh>
    <phoneticPr fontId="23"/>
  </si>
  <si>
    <t>一級建築士</t>
  </si>
  <si>
    <t>二級建築士</t>
  </si>
  <si>
    <t>建築設備士</t>
  </si>
  <si>
    <t>建築積算資格者</t>
  </si>
  <si>
    <t>河川、砂防及び海岸・海洋</t>
  </si>
  <si>
    <t>建設</t>
  </si>
  <si>
    <t>上下水道</t>
  </si>
  <si>
    <t>技術士</t>
  </si>
  <si>
    <t>総合技術監理</t>
    <rPh sb="4" eb="6">
      <t>カンリ</t>
    </rPh>
    <phoneticPr fontId="23"/>
  </si>
  <si>
    <t>廃棄物管理</t>
  </si>
  <si>
    <t>応用理学</t>
  </si>
  <si>
    <t>機械設計,材料力学,機械力学･制御,動力エネルギー,熱工学,流体工学,交通･物流機械及び建設機械,ロボット又は情報･精密機械</t>
  </si>
  <si>
    <t>発送配変電、電気応用、電子応用、情報通信又は電気設備</t>
  </si>
  <si>
    <t>ＲＣＣＭ</t>
  </si>
  <si>
    <t>地質調査技士</t>
  </si>
  <si>
    <t>司法書士</t>
  </si>
  <si>
    <t>補償業務管理士</t>
  </si>
  <si>
    <t>土地区画整理士</t>
  </si>
  <si>
    <t>から</t>
    <phoneticPr fontId="5"/>
  </si>
  <si>
    <t>まで</t>
    <phoneticPr fontId="5"/>
  </si>
  <si>
    <t>直前2ヵ年の年間平均業務高（千円）</t>
    <rPh sb="0" eb="2">
      <t>チョクゼン</t>
    </rPh>
    <rPh sb="4" eb="5">
      <t>ネン</t>
    </rPh>
    <rPh sb="6" eb="8">
      <t>ネンカン</t>
    </rPh>
    <rPh sb="8" eb="10">
      <t>ヘイキン</t>
    </rPh>
    <rPh sb="10" eb="12">
      <t>ギョウム</t>
    </rPh>
    <rPh sb="12" eb="13">
      <t>ダカ</t>
    </rPh>
    <rPh sb="14" eb="16">
      <t>センエン</t>
    </rPh>
    <phoneticPr fontId="5"/>
  </si>
  <si>
    <t>＊</t>
    <phoneticPr fontId="5"/>
  </si>
  <si>
    <t>都道府県から入力してください。</t>
    <rPh sb="0" eb="4">
      <t>トドウフケン</t>
    </rPh>
    <rPh sb="6" eb="8">
      <t>ニュウリョク</t>
    </rPh>
    <phoneticPr fontId="5"/>
  </si>
  <si>
    <t>千円</t>
    <rPh sb="0" eb="2">
      <t>センエン</t>
    </rPh>
    <phoneticPr fontId="5"/>
  </si>
  <si>
    <t>希望</t>
    <rPh sb="0" eb="2">
      <t>キボウ</t>
    </rPh>
    <phoneticPr fontId="5"/>
  </si>
  <si>
    <t>*2</t>
    <phoneticPr fontId="5"/>
  </si>
  <si>
    <t>全角カタカナで入力してください。法人の種別にフリガナは必要ありません。</t>
    <rPh sb="16" eb="18">
      <t>ホウジン</t>
    </rPh>
    <rPh sb="19" eb="21">
      <t>シュベツ</t>
    </rPh>
    <rPh sb="27" eb="29">
      <t>ヒツヨウ</t>
    </rPh>
    <phoneticPr fontId="5"/>
  </si>
  <si>
    <t>支店・営業所名称のみ、全角カタカナで入力してください。</t>
    <rPh sb="11" eb="13">
      <t>ゼンカク</t>
    </rPh>
    <rPh sb="18" eb="20">
      <t>ニュウリョク</t>
    </rPh>
    <phoneticPr fontId="5"/>
  </si>
  <si>
    <t>支店・営業所名称のみ入力してください。</t>
    <rPh sb="0" eb="2">
      <t>シテン</t>
    </rPh>
    <rPh sb="3" eb="6">
      <t>エイギョウショ</t>
    </rPh>
    <rPh sb="6" eb="8">
      <t>メイショウ</t>
    </rPh>
    <rPh sb="10" eb="12">
      <t>ニュウリョク</t>
    </rPh>
    <phoneticPr fontId="5"/>
  </si>
  <si>
    <t>正式名称で入力してください。</t>
    <rPh sb="5" eb="7">
      <t>ニュウリョク</t>
    </rPh>
    <phoneticPr fontId="5"/>
  </si>
  <si>
    <t>部署がない業者は、法人の場合は「本社」又は「本店」と入力し、
個人の場合は「本店」と入力してください。</t>
    <rPh sb="0" eb="2">
      <t>ブショ</t>
    </rPh>
    <rPh sb="5" eb="7">
      <t>ギョウシャ</t>
    </rPh>
    <rPh sb="9" eb="11">
      <t>ホウジン</t>
    </rPh>
    <rPh sb="12" eb="14">
      <t>バアイ</t>
    </rPh>
    <rPh sb="16" eb="18">
      <t>ホンシャ</t>
    </rPh>
    <rPh sb="19" eb="20">
      <t>マタ</t>
    </rPh>
    <rPh sb="22" eb="24">
      <t>ホンテン</t>
    </rPh>
    <rPh sb="26" eb="28">
      <t>ニュウリョク</t>
    </rPh>
    <rPh sb="31" eb="33">
      <t>コジン</t>
    </rPh>
    <rPh sb="34" eb="36">
      <t>バアイ</t>
    </rPh>
    <rPh sb="38" eb="40">
      <t>ホンテン</t>
    </rPh>
    <phoneticPr fontId="5"/>
  </si>
  <si>
    <t>申請日直近の決算における金額を入力してください。
個人事業者は0を入力してください。</t>
    <rPh sb="15" eb="17">
      <t>ニュウリョク</t>
    </rPh>
    <rPh sb="33" eb="35">
      <t>ニュウリョク</t>
    </rPh>
    <phoneticPr fontId="5"/>
  </si>
  <si>
    <r>
      <rPr>
        <b/>
        <sz val="10"/>
        <color rgb="FFFF0000"/>
        <rFont val="ＭＳ Ｐゴシック"/>
        <family val="3"/>
        <charset val="128"/>
        <scheme val="minor"/>
      </rPr>
      <t>測量</t>
    </r>
    <r>
      <rPr>
        <sz val="10"/>
        <color rgb="FFFF0000"/>
        <rFont val="ＭＳ Ｐゴシック"/>
        <family val="3"/>
        <charset val="128"/>
        <scheme val="minor"/>
      </rPr>
      <t>及び</t>
    </r>
    <r>
      <rPr>
        <b/>
        <sz val="10"/>
        <color rgb="FFFF0000"/>
        <rFont val="ＭＳ Ｐゴシック"/>
        <family val="3"/>
        <charset val="128"/>
        <scheme val="minor"/>
      </rPr>
      <t>不動産鑑定</t>
    </r>
    <r>
      <rPr>
        <sz val="10"/>
        <color rgb="FFFF0000"/>
        <rFont val="ＭＳ Ｐゴシック"/>
        <family val="3"/>
        <charset val="128"/>
        <scheme val="minor"/>
      </rPr>
      <t>は、登録がなければ希望することができません。</t>
    </r>
    <phoneticPr fontId="5"/>
  </si>
  <si>
    <t>有資格者数</t>
    <rPh sb="0" eb="4">
      <t>ユウシカクシャ</t>
    </rPh>
    <rPh sb="4" eb="5">
      <t>スウ</t>
    </rPh>
    <phoneticPr fontId="5"/>
  </si>
  <si>
    <t>代表者役職</t>
    <phoneticPr fontId="6"/>
  </si>
  <si>
    <t>担当者氏名カナ</t>
    <rPh sb="0" eb="3">
      <t>タントウシャ</t>
    </rPh>
    <rPh sb="3" eb="5">
      <t>シメイ</t>
    </rPh>
    <phoneticPr fontId="6"/>
  </si>
  <si>
    <t>担当者氏名</t>
    <rPh sb="0" eb="3">
      <t>タントウシャ</t>
    </rPh>
    <rPh sb="3" eb="5">
      <t>シメイ</t>
    </rPh>
    <phoneticPr fontId="6"/>
  </si>
  <si>
    <t>年</t>
    <rPh sb="0" eb="1">
      <t>ネン</t>
    </rPh>
    <phoneticPr fontId="5"/>
  </si>
  <si>
    <t>年</t>
    <rPh sb="0" eb="1">
      <t>ネン</t>
    </rPh>
    <phoneticPr fontId="5"/>
  </si>
  <si>
    <t>この申請書内容の全てを説明できる方を入力してください。</t>
    <rPh sb="18" eb="20">
      <t>ニュウリョク</t>
    </rPh>
    <phoneticPr fontId="5"/>
  </si>
  <si>
    <t>申請日直近の決算における金額を入力してください。
個人事業者の自己資本額
〇青色申告の場合：　事業主借+元入金+青色申告特別控除前の所得金額-事業主貸
〇白色申告の場合：　自己資本額は0（確定できないため）</t>
    <rPh sb="15" eb="17">
      <t>ニュウリョク</t>
    </rPh>
    <phoneticPr fontId="5"/>
  </si>
  <si>
    <t>受任者役職</t>
    <rPh sb="0" eb="2">
      <t>ジュニン</t>
    </rPh>
    <rPh sb="2" eb="3">
      <t>シャ</t>
    </rPh>
    <phoneticPr fontId="6"/>
  </si>
  <si>
    <t>受任者氏名カナ</t>
    <rPh sb="3" eb="5">
      <t>シメイ</t>
    </rPh>
    <phoneticPr fontId="6"/>
  </si>
  <si>
    <t>受任者氏名</t>
    <rPh sb="3" eb="5">
      <t>シメイ</t>
    </rPh>
    <phoneticPr fontId="6"/>
  </si>
  <si>
    <t>受任者職氏名</t>
    <rPh sb="3" eb="4">
      <t>ショク</t>
    </rPh>
    <rPh sb="4" eb="5">
      <t>ウジ</t>
    </rPh>
    <rPh sb="5" eb="6">
      <t>ナ</t>
    </rPh>
    <phoneticPr fontId="22"/>
  </si>
  <si>
    <t>保有していない場合は、入力する必要はありません。</t>
    <rPh sb="0" eb="2">
      <t>ホユウ</t>
    </rPh>
    <rPh sb="7" eb="9">
      <t>バアイ</t>
    </rPh>
    <rPh sb="11" eb="13">
      <t>ニュウリョク</t>
    </rPh>
    <rPh sb="15" eb="17">
      <t>ヒツヨウ</t>
    </rPh>
    <phoneticPr fontId="5"/>
  </si>
  <si>
    <t>登録番号</t>
    <rPh sb="0" eb="2">
      <t>トウロク</t>
    </rPh>
    <rPh sb="2" eb="4">
      <t>バンゴウ</t>
    </rPh>
    <phoneticPr fontId="4"/>
  </si>
  <si>
    <r>
      <t xml:space="preserve">測
量
</t>
    </r>
    <r>
      <rPr>
        <sz val="11"/>
        <color rgb="FFFF0000"/>
        <rFont val="ＭＳ ゴシック"/>
        <family val="3"/>
        <charset val="128"/>
      </rPr>
      <t>*1</t>
    </r>
    <rPh sb="0" eb="1">
      <t>ハカ</t>
    </rPh>
    <rPh sb="2" eb="3">
      <t>リョウ</t>
    </rPh>
    <phoneticPr fontId="6"/>
  </si>
  <si>
    <t>建築士事務所</t>
    <rPh sb="0" eb="2">
      <t>ケンチク</t>
    </rPh>
    <rPh sb="2" eb="3">
      <t>シ</t>
    </rPh>
    <rPh sb="3" eb="5">
      <t>ジム</t>
    </rPh>
    <rPh sb="5" eb="6">
      <t>ショ</t>
    </rPh>
    <phoneticPr fontId="5"/>
  </si>
  <si>
    <r>
      <t xml:space="preserve">不動産鑑定 </t>
    </r>
    <r>
      <rPr>
        <sz val="11"/>
        <color rgb="FFFF0000"/>
        <rFont val="ＭＳ ゴシック"/>
        <family val="3"/>
        <charset val="128"/>
      </rPr>
      <t>*1</t>
    </r>
    <phoneticPr fontId="5"/>
  </si>
  <si>
    <t>*3</t>
    <phoneticPr fontId="5"/>
  </si>
  <si>
    <r>
      <t xml:space="preserve">補
償
コ
ン
サ
ル
タ
ン
ト
</t>
    </r>
    <r>
      <rPr>
        <sz val="11"/>
        <color rgb="FFFF0000"/>
        <rFont val="ＭＳ ゴシック"/>
        <family val="3"/>
        <charset val="128"/>
      </rPr>
      <t>*3</t>
    </r>
    <phoneticPr fontId="5"/>
  </si>
  <si>
    <r>
      <t xml:space="preserve">土
木
関
係
建
設
コ
ン
サ
ル
タ
ン
ト
</t>
    </r>
    <r>
      <rPr>
        <sz val="11"/>
        <color rgb="FFFF0000"/>
        <rFont val="ＭＳ ゴシック"/>
        <family val="3"/>
        <charset val="128"/>
      </rPr>
      <t>*3</t>
    </r>
    <rPh sb="0" eb="1">
      <t>ツチ</t>
    </rPh>
    <rPh sb="2" eb="3">
      <t>モク</t>
    </rPh>
    <rPh sb="4" eb="5">
      <t>セキ</t>
    </rPh>
    <rPh sb="6" eb="7">
      <t>ガカリ</t>
    </rPh>
    <rPh sb="8" eb="9">
      <t>タツル</t>
    </rPh>
    <rPh sb="10" eb="11">
      <t>セツ</t>
    </rPh>
    <phoneticPr fontId="5"/>
  </si>
  <si>
    <r>
      <rPr>
        <b/>
        <sz val="10"/>
        <color rgb="FFFF0000"/>
        <rFont val="ＭＳ Ｐゴシック"/>
        <family val="3"/>
        <charset val="128"/>
        <scheme val="minor"/>
      </rPr>
      <t>土木関係建設コンサルタント</t>
    </r>
    <r>
      <rPr>
        <sz val="10"/>
        <color rgb="FFFF0000"/>
        <rFont val="ＭＳ Ｐゴシック"/>
        <family val="3"/>
        <charset val="128"/>
        <scheme val="minor"/>
      </rPr>
      <t>、</t>
    </r>
    <r>
      <rPr>
        <b/>
        <sz val="10"/>
        <color rgb="FFFF0000"/>
        <rFont val="ＭＳ Ｐゴシック"/>
        <family val="3"/>
        <charset val="128"/>
        <scheme val="minor"/>
      </rPr>
      <t>補償コンサルタント</t>
    </r>
    <r>
      <rPr>
        <sz val="10"/>
        <color rgb="FFFF0000"/>
        <rFont val="ＭＳ Ｐゴシック"/>
        <family val="3"/>
        <charset val="128"/>
        <scheme val="minor"/>
      </rPr>
      <t>の「業務高」は、それぞれの登録規程に基づく現況報告書記載の金額を入力してください。</t>
    </r>
    <rPh sb="2" eb="4">
      <t>カンケイ</t>
    </rPh>
    <rPh sb="4" eb="6">
      <t>ケンセツ</t>
    </rPh>
    <rPh sb="55" eb="57">
      <t>ニュウリョク</t>
    </rPh>
    <phoneticPr fontId="5"/>
  </si>
  <si>
    <t>建
築
関
係
コ
ン
サ
ル
タ
ン
ト</t>
    <rPh sb="0" eb="1">
      <t>ケン</t>
    </rPh>
    <rPh sb="2" eb="3">
      <t>チク</t>
    </rPh>
    <rPh sb="4" eb="5">
      <t>セキ</t>
    </rPh>
    <rPh sb="6" eb="7">
      <t>ガカリ</t>
    </rPh>
    <phoneticPr fontId="6"/>
  </si>
  <si>
    <r>
      <t xml:space="preserve">建築一般 </t>
    </r>
    <r>
      <rPr>
        <sz val="11"/>
        <color rgb="FFFF0000"/>
        <rFont val="ＭＳ ゴシック"/>
        <family val="3"/>
        <charset val="128"/>
      </rPr>
      <t>*2</t>
    </r>
    <phoneticPr fontId="5"/>
  </si>
  <si>
    <r>
      <t xml:space="preserve">意匠 </t>
    </r>
    <r>
      <rPr>
        <sz val="11"/>
        <color rgb="FFFF0000"/>
        <rFont val="ＭＳ ゴシック"/>
        <family val="3"/>
        <charset val="128"/>
      </rPr>
      <t>*2</t>
    </r>
    <phoneticPr fontId="5"/>
  </si>
  <si>
    <r>
      <t xml:space="preserve">構造 </t>
    </r>
    <r>
      <rPr>
        <sz val="11"/>
        <color rgb="FFFF0000"/>
        <rFont val="ＭＳ ゴシック"/>
        <family val="3"/>
        <charset val="128"/>
      </rPr>
      <t>*2</t>
    </r>
    <phoneticPr fontId="5"/>
  </si>
  <si>
    <r>
      <rPr>
        <b/>
        <sz val="10"/>
        <color rgb="FFFF0000"/>
        <rFont val="ＭＳ Ｐゴシック"/>
        <family val="3"/>
        <charset val="128"/>
        <scheme val="minor"/>
      </rPr>
      <t>建築士事務所</t>
    </r>
    <r>
      <rPr>
        <sz val="10"/>
        <color rgb="FFFF0000"/>
        <rFont val="ＭＳ Ｐゴシック"/>
        <family val="3"/>
        <charset val="128"/>
        <scheme val="minor"/>
      </rPr>
      <t>については、申請する営業所（本店・支店等）に登録がなければ希望することができません。</t>
    </r>
    <phoneticPr fontId="5"/>
  </si>
  <si>
    <t>廃棄物管理</t>
    <rPh sb="3" eb="5">
      <t>カンリ</t>
    </rPh>
    <phoneticPr fontId="5"/>
  </si>
  <si>
    <t>年月日を入力してください。【例】2000/4/1</t>
    <rPh sb="0" eb="3">
      <t>ネンガッピ</t>
    </rPh>
    <rPh sb="4" eb="6">
      <t>ニュウリョク</t>
    </rPh>
    <rPh sb="14" eb="15">
      <t>レイ</t>
    </rPh>
    <phoneticPr fontId="5"/>
  </si>
  <si>
    <t>7桁の数字で入力してください。「-（ハイフン）」は不要です。 【例】1000001</t>
    <rPh sb="32" eb="33">
      <t>レイ</t>
    </rPh>
    <phoneticPr fontId="5"/>
  </si>
  <si>
    <t>平成30年12月31日現在までの営業年数を入力してください。 【例】10
創業から申請日まで（組織変更、合併等による期間の通算可）。
１年に満たない場合は0を入力してください。</t>
    <rPh sb="0" eb="2">
      <t>ヘイセイ</t>
    </rPh>
    <rPh sb="4" eb="5">
      <t>ネン</t>
    </rPh>
    <rPh sb="7" eb="8">
      <t>ガツ</t>
    </rPh>
    <rPh sb="10" eb="11">
      <t>ニチ</t>
    </rPh>
    <rPh sb="11" eb="13">
      <t>ゲンザイ</t>
    </rPh>
    <rPh sb="16" eb="18">
      <t>エイギョウ</t>
    </rPh>
    <rPh sb="18" eb="20">
      <t>ネンスウ</t>
    </rPh>
    <rPh sb="21" eb="23">
      <t>ニュウリョク</t>
    </rPh>
    <rPh sb="32" eb="33">
      <t>レイ</t>
    </rPh>
    <rPh sb="79" eb="81">
      <t>ニュウリョク</t>
    </rPh>
    <phoneticPr fontId="5"/>
  </si>
  <si>
    <t>年月日を入力してください。【例】2000/4/1</t>
    <phoneticPr fontId="5"/>
  </si>
  <si>
    <t>年月日を入力してください。【例】2000/4/1
日付が不明な場合は、１日として入力してください。</t>
    <rPh sb="25" eb="27">
      <t>ヒヅケ</t>
    </rPh>
    <rPh sb="28" eb="30">
      <t>フメイ</t>
    </rPh>
    <rPh sb="31" eb="33">
      <t>バアイ</t>
    </rPh>
    <rPh sb="36" eb="37">
      <t>ニチ</t>
    </rPh>
    <rPh sb="40" eb="42">
      <t>ニュウリョク</t>
    </rPh>
    <phoneticPr fontId="5"/>
  </si>
  <si>
    <t>登録年月日
【例】2000/4/1</t>
    <rPh sb="7" eb="8">
      <t>レイ</t>
    </rPh>
    <phoneticPr fontId="5"/>
  </si>
  <si>
    <t>業務高は、登録がない場合は入力しないでください。</t>
    <rPh sb="0" eb="2">
      <t>ギョウム</t>
    </rPh>
    <rPh sb="2" eb="3">
      <t>ダカ</t>
    </rPh>
    <rPh sb="5" eb="7">
      <t>トウロク</t>
    </rPh>
    <rPh sb="10" eb="12">
      <t>バアイ</t>
    </rPh>
    <rPh sb="13" eb="15">
      <t>ニュウリョク</t>
    </rPh>
    <phoneticPr fontId="5"/>
  </si>
  <si>
    <t>登録番号の「第」「号」は入力不要です。
登録年月日が複数ある場合は、最も古いものを入力してください。</t>
    <rPh sb="41" eb="43">
      <t>ニュウリョク</t>
    </rPh>
    <phoneticPr fontId="5"/>
  </si>
  <si>
    <t>業種区分</t>
    <rPh sb="0" eb="2">
      <t>ギョウシュ</t>
    </rPh>
    <rPh sb="2" eb="4">
      <t>クブン</t>
    </rPh>
    <phoneticPr fontId="5"/>
  </si>
  <si>
    <r>
      <t>直前2年前の業務高(千円)</t>
    </r>
    <r>
      <rPr>
        <sz val="11"/>
        <color rgb="FFFF0000"/>
        <rFont val="ＭＳ ゴシック"/>
        <family val="3"/>
        <charset val="128"/>
      </rPr>
      <t>*1</t>
    </r>
    <rPh sb="0" eb="2">
      <t>チョクゼン</t>
    </rPh>
    <rPh sb="3" eb="5">
      <t>ネンマエ</t>
    </rPh>
    <rPh sb="6" eb="8">
      <t>ギョウム</t>
    </rPh>
    <rPh sb="8" eb="9">
      <t>ダカ</t>
    </rPh>
    <rPh sb="10" eb="12">
      <t>センエン</t>
    </rPh>
    <phoneticPr fontId="6"/>
  </si>
  <si>
    <r>
      <t>直前1年前の業務高(千円)</t>
    </r>
    <r>
      <rPr>
        <sz val="11"/>
        <color rgb="FFFF0000"/>
        <rFont val="ＭＳ Ｐゴシック"/>
        <family val="3"/>
        <charset val="128"/>
        <scheme val="minor"/>
      </rPr>
      <t>*1</t>
    </r>
    <rPh sb="0" eb="2">
      <t>チョクゼン</t>
    </rPh>
    <rPh sb="3" eb="5">
      <t>ネンマエ</t>
    </rPh>
    <rPh sb="6" eb="8">
      <t>ギョウム</t>
    </rPh>
    <rPh sb="8" eb="9">
      <t>ダカ</t>
    </rPh>
    <rPh sb="10" eb="12">
      <t>センエン</t>
    </rPh>
    <phoneticPr fontId="5"/>
  </si>
  <si>
    <t>直接雇用の常勤の技術者を入力してください。実務経験者は除きます。
技術者の人数は、申請業種に関係なく有する資格すべてを入力してください。</t>
    <rPh sb="12" eb="14">
      <t>ニュウリョク</t>
    </rPh>
    <rPh sb="50" eb="51">
      <t>ユウ</t>
    </rPh>
    <rPh sb="53" eb="55">
      <t>シカク</t>
    </rPh>
    <rPh sb="59" eb="61">
      <t>ニュウリョク</t>
    </rPh>
    <phoneticPr fontId="5"/>
  </si>
  <si>
    <t>業務を希望する場合、希望、登録、業務高、登録番号、登録年月日欄を入力してください。
希望欄はリストから選択してください。</t>
    <rPh sb="30" eb="31">
      <t>ラン</t>
    </rPh>
    <rPh sb="32" eb="34">
      <t>ニュウリョク</t>
    </rPh>
    <rPh sb="42" eb="44">
      <t>キボウ</t>
    </rPh>
    <rPh sb="44" eb="45">
      <t>ラン</t>
    </rPh>
    <rPh sb="51" eb="53">
      <t>センタク</t>
    </rPh>
    <phoneticPr fontId="5"/>
  </si>
  <si>
    <t>希望する業種ごとの業務高を入力してください。
業務高は千円未満で四捨五入してください。
金額は消費税抜きで入力します。ただし、免税業者は税込みで入力してください。</t>
    <rPh sb="0" eb="2">
      <t>キボウ</t>
    </rPh>
    <rPh sb="4" eb="6">
      <t>ギョウシュ</t>
    </rPh>
    <rPh sb="9" eb="11">
      <t>ギョウム</t>
    </rPh>
    <rPh sb="11" eb="12">
      <t>ダカ</t>
    </rPh>
    <rPh sb="13" eb="15">
      <t>ニュウリョク</t>
    </rPh>
    <rPh sb="53" eb="55">
      <t>ニュウリョク</t>
    </rPh>
    <rPh sb="72" eb="74">
      <t>ニュウリョク</t>
    </rPh>
    <phoneticPr fontId="5"/>
  </si>
  <si>
    <r>
      <t xml:space="preserve">直前２年前の業務期間 </t>
    </r>
    <r>
      <rPr>
        <sz val="11"/>
        <color rgb="FFFF0000"/>
        <rFont val="ＭＳ ゴシック"/>
        <family val="3"/>
        <charset val="128"/>
      </rPr>
      <t>*1</t>
    </r>
    <rPh sb="0" eb="2">
      <t>チョクゼン</t>
    </rPh>
    <rPh sb="3" eb="5">
      <t>ネンマエ</t>
    </rPh>
    <rPh sb="6" eb="8">
      <t>ギョウム</t>
    </rPh>
    <rPh sb="8" eb="10">
      <t>キカン</t>
    </rPh>
    <phoneticPr fontId="6"/>
  </si>
  <si>
    <r>
      <t xml:space="preserve">直前１年前の業務期間 </t>
    </r>
    <r>
      <rPr>
        <sz val="11"/>
        <color rgb="FFFF0000"/>
        <rFont val="ＭＳ ゴシック"/>
        <family val="3"/>
        <charset val="128"/>
      </rPr>
      <t>*1</t>
    </r>
    <rPh sb="0" eb="2">
      <t>チョクゼン</t>
    </rPh>
    <rPh sb="3" eb="5">
      <t>ネンマエ</t>
    </rPh>
    <rPh sb="6" eb="8">
      <t>ギョウム</t>
    </rPh>
    <rPh sb="8" eb="10">
      <t>キカン</t>
    </rPh>
    <phoneticPr fontId="6"/>
  </si>
  <si>
    <t>決算日の変更により月数が12カ月に満たない場合は、不足月数を前期の決算から月数で按分算入し、12カ月に換算して入力してください。
（例）平成30年度に決算日を11月末から3月末に変更した場合
　　前年　　　平成29年12月～平成30年 3月（４月分）
　　　　　　　平成29年 4月～平成29年11月（８月分）
　　前々年　　平成28年12月～平成29年 3月（４月分）
　　　　　　　平成28年 4月～平成28年11月（８月分）</t>
    <phoneticPr fontId="5"/>
  </si>
  <si>
    <t>*1</t>
    <phoneticPr fontId="5"/>
  </si>
  <si>
    <t>法人の種別は次の略号で入力してください。（個人は略号の入力はなし）
（株）：株式会社　　（有）：有限会社　（資）：合資会社　　（名）：合名会社
（同）：協同組合　　（業）：協業組合　（企）：企業組合　　（財）：財団法人</t>
    <rPh sb="3" eb="5">
      <t>シュベツ</t>
    </rPh>
    <rPh sb="11" eb="13">
      <t>ニュウリョク</t>
    </rPh>
    <rPh sb="27" eb="29">
      <t>ニュウリョク</t>
    </rPh>
    <phoneticPr fontId="5"/>
  </si>
  <si>
    <t>正式名称で入力してください。個人の場合は「代表者」と入力してください。</t>
    <rPh sb="5" eb="7">
      <t>ニュウリョク</t>
    </rPh>
    <rPh sb="26" eb="28">
      <t>ニュウリョク</t>
    </rPh>
    <phoneticPr fontId="5"/>
  </si>
  <si>
    <t xml:space="preserve">  直近の決算の情報を入力してください。</t>
    <phoneticPr fontId="5"/>
  </si>
  <si>
    <t>建築関係建設コンサルタント</t>
    <rPh sb="0" eb="2">
      <t>ケンチク</t>
    </rPh>
    <rPh sb="2" eb="4">
      <t>カンケイ</t>
    </rPh>
    <rPh sb="4" eb="6">
      <t>ケンセツ</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</si>
</sst>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ggge&quot;年&quot;m&quot;月&quot;"/>
    <numFmt numFmtId="183" formatCode="#,###;\-#,###"/>
    <numFmt numFmtId="184" formatCode="0_ "/>
    <numFmt numFmtId="185" formatCode="0_);[Red]\(0\)"/>
  </numFmts>
  <fonts count="69">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10"/>
      <color theme="1"/>
      <name val="ＭＳ Ｐゴシック"/>
      <family val="2"/>
      <charset val="128"/>
      <scheme val="minor"/>
    </font>
    <font>
      <sz val="9"/>
      <color indexed="8"/>
      <name val="ＭＳ ゴシック"/>
      <family val="3"/>
      <charset val="128"/>
    </font>
    <font>
      <sz val="11"/>
      <color indexed="8"/>
      <name val="ＭＳ Ｐゴシック"/>
      <family val="3"/>
      <charset val="128"/>
    </font>
    <font>
      <sz val="9"/>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sz val="11"/>
      <color rgb="FF9C0006"/>
      <name val="ＭＳ Ｐゴシック"/>
      <family val="2"/>
      <charset val="128"/>
      <scheme val="minor"/>
    </font>
    <font>
      <sz val="11"/>
      <color rgb="FFFF0000"/>
      <name val="ＭＳ Ｐゴシック"/>
      <family val="3"/>
      <charset val="128"/>
      <scheme val="minor"/>
    </font>
    <font>
      <sz val="7"/>
      <name val="ＭＳ 明朝"/>
      <family val="1"/>
      <charset val="128"/>
    </font>
    <font>
      <b/>
      <sz val="11"/>
      <color theme="1"/>
      <name val="ＭＳ ゴシック"/>
      <family val="3"/>
      <charset val="128"/>
    </font>
    <font>
      <u/>
      <sz val="11"/>
      <color rgb="FF0070C0"/>
      <name val="ＭＳ ゴシック"/>
      <family val="3"/>
      <charset val="128"/>
    </font>
    <font>
      <sz val="10"/>
      <color rgb="FFFF0000"/>
      <name val="ＭＳ Ｐゴシック"/>
      <family val="3"/>
      <charset val="128"/>
      <scheme val="minor"/>
    </font>
    <font>
      <sz val="11"/>
      <color rgb="FF9C5700"/>
      <name val="ＭＳ Ｐゴシック"/>
      <family val="2"/>
      <charset val="128"/>
      <scheme val="minor"/>
    </font>
    <font>
      <sz val="6"/>
      <name val="ＭＳ Ｐゴシック"/>
      <family val="3"/>
      <charset val="128"/>
    </font>
    <font>
      <sz val="10"/>
      <color theme="1"/>
      <name val="ＭＳ ゴシック"/>
      <family val="3"/>
      <charset val="128"/>
    </font>
    <font>
      <b/>
      <sz val="10"/>
      <color rgb="FFFF0000"/>
      <name val="ＭＳ Ｐゴシック"/>
      <family val="3"/>
      <charset val="128"/>
      <scheme val="minor"/>
    </font>
    <font>
      <b/>
      <sz val="11"/>
      <color theme="1"/>
      <name val="ＭＳ Ｐゴシック"/>
      <family val="3"/>
      <charset val="128"/>
      <scheme val="minor"/>
    </font>
    <font>
      <sz val="8"/>
      <color theme="1"/>
      <name val="ＭＳ Ｐ明朝"/>
      <family val="1"/>
      <charset val="128"/>
    </font>
    <font>
      <sz val="9"/>
      <color theme="1"/>
      <name val="ＭＳ Ｐゴシック"/>
      <family val="2"/>
      <charset val="128"/>
      <scheme val="minor"/>
    </font>
    <font>
      <sz val="9"/>
      <color theme="1"/>
      <name val="ＭＳ 明朝"/>
      <family val="1"/>
      <charset val="128"/>
    </font>
    <font>
      <b/>
      <sz val="12"/>
      <color theme="1"/>
      <name val="ＭＳ 明朝"/>
      <family val="1"/>
      <charset val="128"/>
    </font>
    <font>
      <b/>
      <sz val="11"/>
      <color theme="1"/>
      <name val="ＭＳ 明朝"/>
      <family val="1"/>
      <charset val="128"/>
    </font>
    <font>
      <sz val="6"/>
      <name val="ＭＳ 明朝"/>
      <family val="1"/>
      <charset val="128"/>
    </font>
    <font>
      <sz val="9"/>
      <name val="ＭＳ 明朝"/>
      <family val="1"/>
      <charset val="128"/>
    </font>
    <font>
      <sz val="6"/>
      <color theme="1"/>
      <name val="ＭＳ 明朝"/>
      <family val="1"/>
      <charset val="128"/>
    </font>
    <font>
      <b/>
      <sz val="9"/>
      <name val="ＭＳ 明朝"/>
      <family val="1"/>
      <charset val="128"/>
    </font>
    <font>
      <sz val="9"/>
      <name val="ＭＳ Ｐ明朝"/>
      <family val="1"/>
      <charset val="128"/>
    </font>
    <font>
      <sz val="9"/>
      <color theme="1"/>
      <name val="ＭＳ Ｐ明朝"/>
      <family val="1"/>
      <charset val="128"/>
    </font>
    <font>
      <sz val="10"/>
      <color indexed="8"/>
      <name val="ＭＳ 明朝"/>
      <family val="1"/>
      <charset val="128"/>
    </font>
    <font>
      <sz val="9"/>
      <color indexed="8"/>
      <name val="ＭＳ 明朝"/>
      <family val="1"/>
      <charset val="128"/>
    </font>
    <font>
      <sz val="9"/>
      <color indexed="8"/>
      <name val="ＭＳ Ｐ明朝"/>
      <family val="1"/>
      <charset val="128"/>
    </font>
    <font>
      <sz val="8"/>
      <color indexed="8"/>
      <name val="ＭＳ 明朝"/>
      <family val="1"/>
      <charset val="128"/>
    </font>
    <font>
      <sz val="10"/>
      <color theme="1"/>
      <name val="ＭＳ 明朝"/>
      <family val="1"/>
      <charset val="128"/>
    </font>
    <font>
      <sz val="14"/>
      <name val="ＭＳ ゴシック"/>
      <family val="3"/>
      <charset val="128"/>
    </font>
    <font>
      <sz val="12"/>
      <name val="ＭＳ 明朝"/>
      <family val="1"/>
      <charset val="128"/>
    </font>
    <font>
      <sz val="11"/>
      <name val="ＭＳ 明朝"/>
      <family val="1"/>
      <charset val="128"/>
    </font>
    <font>
      <i/>
      <sz val="11"/>
      <color indexed="12"/>
      <name val="HGS教科書体"/>
      <family val="1"/>
      <charset val="128"/>
    </font>
    <font>
      <sz val="16"/>
      <name val="ＭＳ 明朝"/>
      <family val="1"/>
      <charset val="128"/>
    </font>
    <font>
      <sz val="8"/>
      <name val="ＭＳ 明朝"/>
      <family val="1"/>
      <charset val="128"/>
    </font>
    <font>
      <sz val="8"/>
      <name val="ＭＳ ゴシック"/>
      <family val="3"/>
      <charset val="128"/>
    </font>
    <font>
      <sz val="10"/>
      <name val="ＭＳ 明朝"/>
      <family val="1"/>
      <charset val="128"/>
    </font>
    <font>
      <sz val="10"/>
      <name val="ＭＳ ゴシック"/>
      <family val="3"/>
      <charset val="128"/>
    </font>
    <font>
      <sz val="9"/>
      <name val="ＭＳ ゴシック"/>
      <family val="3"/>
      <charset val="128"/>
    </font>
    <font>
      <sz val="10"/>
      <color indexed="12"/>
      <name val="HG行書体"/>
      <family val="4"/>
      <charset val="128"/>
    </font>
    <font>
      <sz val="10"/>
      <color rgb="FF0000FF"/>
      <name val="HG行書体"/>
      <family val="4"/>
      <charset val="128"/>
    </font>
    <font>
      <i/>
      <sz val="10"/>
      <color rgb="FF0000FF"/>
      <name val="HG教科書体"/>
      <family val="1"/>
      <charset val="128"/>
    </font>
    <font>
      <i/>
      <sz val="8"/>
      <color rgb="FF0000FF"/>
      <name val="HG教科書体"/>
      <family val="1"/>
      <charset val="128"/>
    </font>
    <font>
      <i/>
      <sz val="10"/>
      <color indexed="12"/>
      <name val="HG教科書体"/>
      <family val="1"/>
      <charset val="128"/>
    </font>
    <font>
      <sz val="8"/>
      <name val="ＭＳ Ｐ明朝"/>
      <family val="1"/>
      <charset val="128"/>
    </font>
    <font>
      <sz val="12"/>
      <name val="ＭＳ ゴシック"/>
      <family val="3"/>
      <charset val="128"/>
    </font>
    <font>
      <i/>
      <sz val="10"/>
      <color indexed="12"/>
      <name val="HGS教科書体"/>
      <family val="1"/>
      <charset val="128"/>
    </font>
    <font>
      <sz val="11"/>
      <name val="ＭＳ ゴシック"/>
      <family val="3"/>
      <charset val="128"/>
    </font>
    <font>
      <i/>
      <sz val="9"/>
      <color indexed="12"/>
      <name val="HG教科書体"/>
      <family val="1"/>
      <charset val="128"/>
    </font>
    <font>
      <sz val="8"/>
      <color indexed="12"/>
      <name val="ＭＳ Ｐ明朝"/>
      <family val="1"/>
      <charset val="128"/>
    </font>
    <font>
      <sz val="8"/>
      <color indexed="12"/>
      <name val="HG行書体"/>
      <family val="4"/>
      <charset val="128"/>
    </font>
    <font>
      <sz val="9"/>
      <name val="HG丸ｺﾞｼｯｸM-PRO"/>
      <family val="3"/>
      <charset val="128"/>
    </font>
    <font>
      <sz val="10"/>
      <color rgb="FFFF0000"/>
      <name val="ＭＳ ゴシック"/>
      <family val="3"/>
      <charset val="128"/>
    </font>
    <font>
      <sz val="11"/>
      <color rgb="FFFF0000"/>
      <name val="ＭＳ ゴシック"/>
      <family val="3"/>
      <charset val="128"/>
    </font>
    <font>
      <sz val="11"/>
      <color theme="1"/>
      <name val="ＭＳ Ｐゴシック"/>
      <family val="3"/>
      <charset val="128"/>
    </font>
  </fonts>
  <fills count="9">
    <fill>
      <patternFill patternType="none"/>
    </fill>
    <fill>
      <patternFill patternType="gray125"/>
    </fill>
    <fill>
      <patternFill patternType="solid">
        <fgColor rgb="FFCCFFFF"/>
        <bgColor indexed="64"/>
      </patternFill>
    </fill>
    <fill>
      <patternFill patternType="solid">
        <fgColor rgb="FFCCEDFC"/>
        <bgColor indexed="64"/>
      </patternFill>
    </fill>
    <fill>
      <patternFill patternType="solid">
        <fgColor rgb="FFA6A6A6"/>
        <bgColor indexed="64"/>
      </patternFill>
    </fill>
    <fill>
      <patternFill patternType="solid">
        <fgColor rgb="FFCCECFF"/>
        <bgColor indexed="64"/>
      </patternFill>
    </fill>
    <fill>
      <patternFill patternType="solid">
        <fgColor indexed="22"/>
        <bgColor indexed="64"/>
      </patternFill>
    </fill>
    <fill>
      <patternFill patternType="solid">
        <fgColor indexed="9"/>
        <bgColor indexed="64"/>
      </patternFill>
    </fill>
    <fill>
      <patternFill patternType="solid">
        <fgColor rgb="FFC0C0C0"/>
        <bgColor indexed="64"/>
      </patternFill>
    </fill>
  </fills>
  <borders count="146">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auto="1"/>
      </left>
      <right style="hair">
        <color auto="1"/>
      </right>
      <top style="hair">
        <color auto="1"/>
      </top>
      <bottom style="thin">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style="hair">
        <color auto="1"/>
      </right>
      <top/>
      <bottom style="hair">
        <color auto="1"/>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style="thin">
        <color auto="1"/>
      </right>
      <top style="thin">
        <color indexed="64"/>
      </top>
      <bottom/>
      <diagonal/>
    </border>
    <border>
      <left style="thin">
        <color indexed="64"/>
      </left>
      <right/>
      <top/>
      <bottom/>
      <diagonal/>
    </border>
    <border>
      <left/>
      <right style="hair">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auto="1"/>
      </left>
      <right style="hair">
        <color auto="1"/>
      </right>
      <top style="thin">
        <color auto="1"/>
      </top>
      <bottom style="thin">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thin">
        <color indexed="64"/>
      </left>
      <right style="thin">
        <color indexed="64"/>
      </right>
      <top/>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thin">
        <color indexed="64"/>
      </top>
      <bottom/>
      <diagonal/>
    </border>
    <border>
      <left style="medium">
        <color indexed="64"/>
      </left>
      <right style="thin">
        <color indexed="64"/>
      </right>
      <top style="hair">
        <color indexed="64"/>
      </top>
      <bottom style="hair">
        <color indexed="64"/>
      </bottom>
      <diagonal/>
    </border>
    <border>
      <left/>
      <right/>
      <top/>
      <bottom style="dotted">
        <color indexed="64"/>
      </bottom>
      <diagonal/>
    </border>
    <border>
      <left style="medium">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bottom style="dotted">
        <color indexed="64"/>
      </bottom>
      <diagonal/>
    </border>
    <border>
      <left style="hair">
        <color indexed="64"/>
      </left>
      <right style="thin">
        <color indexed="64"/>
      </right>
      <top/>
      <bottom style="dotted">
        <color indexed="64"/>
      </bottom>
      <diagonal/>
    </border>
    <border>
      <left/>
      <right style="hair">
        <color indexed="64"/>
      </right>
      <top style="dotted">
        <color indexed="64"/>
      </top>
      <bottom/>
      <diagonal/>
    </border>
    <border>
      <left style="thin">
        <color indexed="64"/>
      </left>
      <right style="hair">
        <color indexed="64"/>
      </right>
      <top style="dotted">
        <color indexed="64"/>
      </top>
      <bottom/>
      <diagonal/>
    </border>
    <border>
      <left style="hair">
        <color indexed="64"/>
      </left>
      <right style="thin">
        <color indexed="64"/>
      </right>
      <top style="dotted">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thick">
        <color indexed="64"/>
      </bottom>
      <diagonal/>
    </border>
    <border>
      <left style="thin">
        <color indexed="64"/>
      </left>
      <right style="hair">
        <color indexed="64"/>
      </right>
      <top style="thick">
        <color indexed="64"/>
      </top>
      <bottom style="hair">
        <color indexed="64"/>
      </bottom>
      <diagonal/>
    </border>
    <border>
      <left style="hair">
        <color indexed="64"/>
      </left>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thin">
        <color indexed="64"/>
      </top>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indexed="64"/>
      </left>
      <right style="hair">
        <color indexed="64"/>
      </right>
      <top/>
      <bottom style="thin">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dotted">
        <color indexed="64"/>
      </bottom>
      <diagonal/>
    </border>
    <border>
      <left style="hair">
        <color indexed="64"/>
      </left>
      <right style="hair">
        <color indexed="64"/>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style="thin">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hair">
        <color indexed="64"/>
      </left>
      <right/>
      <top style="dotted">
        <color indexed="64"/>
      </top>
      <bottom style="hair">
        <color indexed="64"/>
      </bottom>
      <diagonal/>
    </border>
    <border>
      <left/>
      <right style="hair">
        <color indexed="64"/>
      </right>
      <top style="dotted">
        <color indexed="64"/>
      </top>
      <bottom style="hair">
        <color indexed="64"/>
      </bottom>
      <diagonal/>
    </border>
    <border>
      <left/>
      <right style="thin">
        <color indexed="64"/>
      </right>
      <top style="hair">
        <color indexed="64"/>
      </top>
      <bottom style="dotted">
        <color indexed="64"/>
      </bottom>
      <diagonal/>
    </border>
    <border>
      <left/>
      <right style="thin">
        <color indexed="64"/>
      </right>
      <top style="dotted">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s>
  <cellStyleXfs count="21">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1" fillId="0" borderId="0" applyFont="0" applyFill="0" applyBorder="0" applyAlignment="0" applyProtection="0">
      <alignment vertical="center"/>
    </xf>
    <xf numFmtId="0" fontId="1" fillId="0" borderId="0">
      <alignment vertical="center"/>
    </xf>
    <xf numFmtId="0" fontId="3" fillId="0" borderId="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0" fontId="9" fillId="0" borderId="0">
      <alignment vertical="center"/>
    </xf>
    <xf numFmtId="6" fontId="11"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2"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0" fontId="9" fillId="0" borderId="0"/>
  </cellStyleXfs>
  <cellXfs count="915">
    <xf numFmtId="0" fontId="0" fillId="0" borderId="0" xfId="0">
      <alignment vertical="center"/>
    </xf>
    <xf numFmtId="0" fontId="4" fillId="0" borderId="0" xfId="3" applyFont="1" applyFill="1">
      <alignment vertical="center"/>
    </xf>
    <xf numFmtId="0" fontId="7" fillId="0" borderId="0" xfId="3">
      <alignment vertical="center"/>
    </xf>
    <xf numFmtId="0" fontId="7" fillId="0" borderId="0" xfId="3" applyFont="1">
      <alignment vertical="center"/>
    </xf>
    <xf numFmtId="0" fontId="13" fillId="0" borderId="0" xfId="4" applyFont="1">
      <alignment vertical="center"/>
    </xf>
    <xf numFmtId="0" fontId="4" fillId="0" borderId="0" xfId="3" applyNumberFormat="1" applyFont="1" applyFill="1" applyProtection="1">
      <alignment vertical="center"/>
    </xf>
    <xf numFmtId="0" fontId="7" fillId="2" borderId="0" xfId="3" applyFont="1" applyFill="1">
      <alignment vertical="center"/>
    </xf>
    <xf numFmtId="0" fontId="7" fillId="2" borderId="0" xfId="3" applyFill="1">
      <alignment vertical="center"/>
    </xf>
    <xf numFmtId="0" fontId="4" fillId="0" borderId="0" xfId="2" applyFont="1" applyFill="1" applyProtection="1">
      <alignment vertical="center"/>
    </xf>
    <xf numFmtId="0" fontId="4" fillId="0" borderId="0" xfId="7" applyFont="1" applyFill="1" applyProtection="1">
      <alignment vertical="center"/>
    </xf>
    <xf numFmtId="0" fontId="8" fillId="0" borderId="0" xfId="3" applyNumberFormat="1" applyFont="1" applyFill="1" applyProtection="1">
      <alignment vertical="center"/>
    </xf>
    <xf numFmtId="0" fontId="15" fillId="0" borderId="36" xfId="0" applyFont="1" applyFill="1" applyBorder="1" applyProtection="1">
      <alignment vertical="center"/>
    </xf>
    <xf numFmtId="0" fontId="15" fillId="0" borderId="0" xfId="0" applyFont="1" applyFill="1" applyBorder="1" applyProtection="1">
      <alignment vertical="center"/>
    </xf>
    <xf numFmtId="0" fontId="3" fillId="0" borderId="31" xfId="0" applyFont="1" applyFill="1" applyBorder="1" applyProtection="1">
      <alignment vertical="center"/>
    </xf>
    <xf numFmtId="0" fontId="3" fillId="0" borderId="35" xfId="0" applyFont="1" applyFill="1" applyBorder="1" applyProtection="1">
      <alignment vertical="center"/>
    </xf>
    <xf numFmtId="179" fontId="3" fillId="0" borderId="36" xfId="0" applyNumberFormat="1" applyFont="1" applyFill="1" applyBorder="1" applyProtection="1">
      <alignment vertical="center"/>
    </xf>
    <xf numFmtId="179" fontId="3" fillId="0" borderId="0" xfId="0" applyNumberFormat="1" applyFont="1" applyFill="1" applyBorder="1" applyProtection="1">
      <alignment vertical="center"/>
    </xf>
    <xf numFmtId="0" fontId="3" fillId="0" borderId="39" xfId="0" applyFont="1" applyFill="1" applyBorder="1" applyProtection="1">
      <alignment vertical="center"/>
    </xf>
    <xf numFmtId="0" fontId="3" fillId="0" borderId="36" xfId="0" applyFont="1" applyFill="1" applyBorder="1" applyProtection="1">
      <alignment vertical="center"/>
    </xf>
    <xf numFmtId="0" fontId="4" fillId="0" borderId="33" xfId="3" applyFont="1" applyFill="1" applyBorder="1" applyProtection="1">
      <alignment vertical="center"/>
    </xf>
    <xf numFmtId="0" fontId="4" fillId="0" borderId="27" xfId="3" applyFont="1" applyFill="1" applyBorder="1" applyProtection="1">
      <alignment vertical="center"/>
    </xf>
    <xf numFmtId="0" fontId="4" fillId="0" borderId="29" xfId="3" applyFont="1" applyFill="1" applyBorder="1" applyProtection="1">
      <alignment vertical="center"/>
    </xf>
    <xf numFmtId="0" fontId="17" fillId="0" borderId="39" xfId="0" applyFont="1" applyFill="1" applyBorder="1" applyAlignment="1" applyProtection="1">
      <alignment vertical="top" wrapText="1"/>
    </xf>
    <xf numFmtId="0" fontId="17" fillId="0" borderId="39" xfId="0" applyFont="1" applyFill="1" applyBorder="1" applyAlignment="1" applyProtection="1">
      <alignment vertical="top"/>
    </xf>
    <xf numFmtId="0" fontId="3" fillId="0" borderId="33" xfId="0" applyFont="1" applyFill="1" applyBorder="1" applyProtection="1">
      <alignment vertical="center"/>
    </xf>
    <xf numFmtId="0" fontId="3" fillId="0" borderId="27" xfId="0" applyFont="1" applyFill="1" applyBorder="1" applyProtection="1">
      <alignment vertical="center"/>
    </xf>
    <xf numFmtId="0" fontId="3" fillId="0" borderId="29" xfId="0" applyFont="1" applyFill="1" applyBorder="1" applyProtection="1">
      <alignment vertical="center"/>
    </xf>
    <xf numFmtId="0" fontId="14" fillId="0" borderId="36" xfId="0" applyFont="1" applyFill="1" applyBorder="1" applyProtection="1">
      <alignment vertical="center"/>
    </xf>
    <xf numFmtId="0" fontId="14" fillId="0" borderId="0" xfId="0" applyFont="1" applyFill="1" applyBorder="1" applyProtection="1">
      <alignment vertical="center"/>
    </xf>
    <xf numFmtId="0" fontId="4" fillId="0" borderId="0" xfId="2" applyNumberFormat="1" applyFont="1" applyFill="1" applyBorder="1" applyProtection="1">
      <alignment vertical="center"/>
    </xf>
    <xf numFmtId="0" fontId="4" fillId="0" borderId="0" xfId="2" applyFont="1" applyFill="1" applyBorder="1" applyProtection="1">
      <alignment vertical="center"/>
    </xf>
    <xf numFmtId="176" fontId="4" fillId="0" borderId="0" xfId="2" applyNumberFormat="1" applyFont="1" applyFill="1" applyBorder="1" applyAlignment="1" applyProtection="1">
      <alignment horizontal="center" vertical="center"/>
    </xf>
    <xf numFmtId="0" fontId="4" fillId="0" borderId="39" xfId="3" applyFont="1" applyFill="1" applyBorder="1" applyProtection="1">
      <alignment vertical="center"/>
    </xf>
    <xf numFmtId="0" fontId="4" fillId="0" borderId="0" xfId="3" applyFont="1" applyFill="1" applyProtection="1">
      <alignment vertical="center"/>
    </xf>
    <xf numFmtId="179" fontId="3" fillId="0" borderId="20" xfId="0" applyNumberFormat="1" applyFont="1" applyFill="1" applyBorder="1" applyProtection="1">
      <alignment vertical="center"/>
    </xf>
    <xf numFmtId="179" fontId="3" fillId="0" borderId="19" xfId="0" applyNumberFormat="1" applyFont="1" applyFill="1" applyBorder="1" applyProtection="1">
      <alignment vertical="center"/>
    </xf>
    <xf numFmtId="179" fontId="3" fillId="0" borderId="42" xfId="0" applyNumberFormat="1" applyFont="1" applyFill="1" applyBorder="1" applyProtection="1">
      <alignment vertical="center"/>
    </xf>
    <xf numFmtId="179" fontId="3" fillId="0" borderId="47" xfId="0" applyNumberFormat="1" applyFont="1" applyFill="1" applyBorder="1" applyProtection="1">
      <alignment vertical="center"/>
    </xf>
    <xf numFmtId="0" fontId="14" fillId="0" borderId="38" xfId="0" applyFont="1" applyFill="1" applyBorder="1" applyAlignment="1" applyProtection="1">
      <alignment horizontal="left" vertical="center" indent="1"/>
    </xf>
    <xf numFmtId="179" fontId="3" fillId="0" borderId="30" xfId="0" applyNumberFormat="1" applyFont="1" applyFill="1" applyBorder="1" applyProtection="1">
      <alignment vertical="center"/>
    </xf>
    <xf numFmtId="179" fontId="3" fillId="0" borderId="33" xfId="0" applyNumberFormat="1" applyFont="1" applyFill="1" applyBorder="1" applyProtection="1">
      <alignment vertical="center"/>
    </xf>
    <xf numFmtId="0" fontId="4" fillId="0" borderId="0" xfId="3" applyFont="1" applyFill="1" applyBorder="1" applyProtection="1">
      <alignment vertical="center"/>
    </xf>
    <xf numFmtId="0" fontId="3" fillId="0" borderId="0" xfId="0" applyFont="1" applyFill="1" applyBorder="1" applyProtection="1">
      <alignment vertical="center"/>
    </xf>
    <xf numFmtId="0" fontId="17" fillId="0" borderId="0" xfId="0" applyFont="1" applyFill="1" applyBorder="1" applyAlignment="1" applyProtection="1">
      <alignment vertical="top"/>
    </xf>
    <xf numFmtId="178" fontId="4" fillId="0" borderId="0" xfId="2" applyNumberFormat="1" applyFont="1" applyFill="1" applyAlignment="1" applyProtection="1">
      <alignment vertical="top"/>
    </xf>
    <xf numFmtId="0" fontId="17" fillId="0" borderId="27" xfId="0" applyFont="1" applyFill="1" applyBorder="1" applyAlignment="1" applyProtection="1">
      <alignment vertical="top"/>
    </xf>
    <xf numFmtId="0" fontId="19" fillId="0" borderId="0" xfId="3" applyFont="1" applyFill="1" applyProtection="1">
      <alignment vertical="center"/>
    </xf>
    <xf numFmtId="0" fontId="20" fillId="0" borderId="0" xfId="1" applyFont="1" applyFill="1" applyAlignment="1" applyProtection="1">
      <alignment horizontal="center" vertical="center" shrinkToFit="1"/>
    </xf>
    <xf numFmtId="0" fontId="21" fillId="0" borderId="0" xfId="0" applyFont="1" applyFill="1" applyBorder="1" applyAlignment="1" applyProtection="1">
      <alignment horizontal="right" vertical="top"/>
    </xf>
    <xf numFmtId="0" fontId="21" fillId="0" borderId="0" xfId="0" applyFont="1" applyFill="1" applyBorder="1" applyAlignment="1" applyProtection="1">
      <alignment horizontal="right" vertical="top" wrapText="1"/>
    </xf>
    <xf numFmtId="49" fontId="21" fillId="0" borderId="0" xfId="0" applyNumberFormat="1" applyFont="1" applyFill="1" applyBorder="1" applyAlignment="1" applyProtection="1">
      <alignment horizontal="right" vertical="top"/>
    </xf>
    <xf numFmtId="180" fontId="21" fillId="0" borderId="0" xfId="0" applyNumberFormat="1" applyFont="1" applyFill="1" applyBorder="1" applyAlignment="1" applyProtection="1">
      <alignment horizontal="right" vertical="top"/>
    </xf>
    <xf numFmtId="177" fontId="21" fillId="0" borderId="0" xfId="0" applyNumberFormat="1" applyFont="1" applyFill="1" applyBorder="1" applyAlignment="1" applyProtection="1">
      <alignment horizontal="right" vertical="top"/>
    </xf>
    <xf numFmtId="49" fontId="17" fillId="0" borderId="27" xfId="0" applyNumberFormat="1" applyFont="1" applyFill="1" applyBorder="1" applyAlignment="1" applyProtection="1">
      <alignment vertical="top"/>
    </xf>
    <xf numFmtId="176" fontId="17" fillId="0" borderId="27" xfId="0" applyNumberFormat="1" applyFont="1" applyFill="1" applyBorder="1" applyAlignment="1" applyProtection="1">
      <alignment vertical="top"/>
    </xf>
    <xf numFmtId="0" fontId="3" fillId="0" borderId="0" xfId="0" applyFont="1" applyFill="1" applyBorder="1" applyProtection="1">
      <alignment vertical="center"/>
    </xf>
    <xf numFmtId="0" fontId="4" fillId="0" borderId="0" xfId="3" applyFont="1" applyFill="1" applyBorder="1" applyProtection="1">
      <alignment vertical="center"/>
    </xf>
    <xf numFmtId="0" fontId="4" fillId="0" borderId="4" xfId="3" applyNumberFormat="1" applyFont="1" applyFill="1" applyBorder="1" applyAlignment="1" applyProtection="1">
      <alignment horizontal="center" vertical="center"/>
    </xf>
    <xf numFmtId="0" fontId="4" fillId="3" borderId="4" xfId="14" applyNumberFormat="1" applyFont="1" applyFill="1" applyBorder="1" applyAlignment="1" applyProtection="1">
      <alignment horizontal="center" vertical="center"/>
      <protection locked="0"/>
    </xf>
    <xf numFmtId="0" fontId="4" fillId="4" borderId="4" xfId="14" applyFont="1" applyFill="1" applyBorder="1" applyAlignment="1" applyProtection="1">
      <alignment horizontal="center" vertical="center"/>
    </xf>
    <xf numFmtId="0" fontId="4" fillId="0" borderId="9" xfId="3" applyNumberFormat="1" applyFont="1" applyFill="1" applyBorder="1" applyAlignment="1" applyProtection="1">
      <alignment horizontal="center" vertical="center"/>
    </xf>
    <xf numFmtId="0" fontId="4" fillId="3" borderId="9" xfId="14" applyNumberFormat="1" applyFont="1" applyFill="1" applyBorder="1" applyAlignment="1" applyProtection="1">
      <alignment horizontal="center" vertical="center"/>
      <protection locked="0"/>
    </xf>
    <xf numFmtId="0" fontId="4" fillId="4" borderId="9" xfId="14" applyFont="1" applyFill="1" applyBorder="1" applyAlignment="1" applyProtection="1">
      <alignment horizontal="center" vertical="center"/>
    </xf>
    <xf numFmtId="0" fontId="4" fillId="0" borderId="14" xfId="3" applyNumberFormat="1" applyFont="1" applyFill="1" applyBorder="1" applyAlignment="1" applyProtection="1">
      <alignment horizontal="center" vertical="center"/>
    </xf>
    <xf numFmtId="0" fontId="4" fillId="3" borderId="14" xfId="14" applyNumberFormat="1" applyFont="1" applyFill="1" applyBorder="1" applyAlignment="1" applyProtection="1">
      <alignment horizontal="center" vertical="center"/>
      <protection locked="0"/>
    </xf>
    <xf numFmtId="0" fontId="4" fillId="4" borderId="14" xfId="14" applyFont="1" applyFill="1" applyBorder="1" applyAlignment="1" applyProtection="1">
      <alignment horizontal="center" vertical="center"/>
    </xf>
    <xf numFmtId="0" fontId="4" fillId="0" borderId="23" xfId="3" applyNumberFormat="1" applyFont="1" applyFill="1" applyBorder="1" applyAlignment="1" applyProtection="1">
      <alignment horizontal="center" vertical="center"/>
    </xf>
    <xf numFmtId="0" fontId="4" fillId="4" borderId="23" xfId="14" applyFont="1" applyFill="1" applyBorder="1" applyAlignment="1" applyProtection="1">
      <alignment horizontal="center" vertical="center"/>
    </xf>
    <xf numFmtId="0" fontId="4" fillId="3" borderId="4" xfId="14" applyNumberFormat="1" applyFont="1" applyFill="1" applyBorder="1" applyAlignment="1" applyProtection="1">
      <alignment horizontal="center" vertical="center" shrinkToFit="1"/>
      <protection locked="0"/>
    </xf>
    <xf numFmtId="0" fontId="4" fillId="3" borderId="9" xfId="14" applyNumberFormat="1" applyFont="1" applyFill="1" applyBorder="1" applyAlignment="1" applyProtection="1">
      <alignment horizontal="center" vertical="center" shrinkToFit="1"/>
      <protection locked="0"/>
    </xf>
    <xf numFmtId="0" fontId="4" fillId="3" borderId="14" xfId="14" applyNumberFormat="1" applyFont="1" applyFill="1" applyBorder="1" applyAlignment="1" applyProtection="1">
      <alignment horizontal="center" vertical="center" shrinkToFit="1"/>
      <protection locked="0"/>
    </xf>
    <xf numFmtId="0" fontId="4" fillId="4" borderId="4" xfId="14" applyNumberFormat="1" applyFont="1" applyFill="1" applyBorder="1" applyAlignment="1" applyProtection="1">
      <alignment horizontal="center" vertical="center" shrinkToFit="1"/>
    </xf>
    <xf numFmtId="0" fontId="4" fillId="4" borderId="9" xfId="14" applyFont="1" applyFill="1" applyBorder="1" applyAlignment="1" applyProtection="1">
      <alignment horizontal="center" vertical="center" shrinkToFit="1"/>
    </xf>
    <xf numFmtId="0" fontId="4" fillId="4" borderId="14" xfId="14" applyFont="1" applyFill="1" applyBorder="1" applyAlignment="1" applyProtection="1">
      <alignment horizontal="center" vertical="center" shrinkToFit="1"/>
    </xf>
    <xf numFmtId="0" fontId="4" fillId="0" borderId="54" xfId="3" applyNumberFormat="1" applyFont="1" applyFill="1" applyBorder="1" applyAlignment="1" applyProtection="1">
      <alignment horizontal="center" vertical="center"/>
    </xf>
    <xf numFmtId="0" fontId="4" fillId="4" borderId="54" xfId="14" applyNumberFormat="1" applyFont="1" applyFill="1" applyBorder="1" applyAlignment="1" applyProtection="1">
      <alignment horizontal="center" vertical="center"/>
    </xf>
    <xf numFmtId="179" fontId="3" fillId="0" borderId="56" xfId="0" applyNumberFormat="1" applyFont="1" applyFill="1" applyBorder="1" applyProtection="1">
      <alignment vertical="center"/>
    </xf>
    <xf numFmtId="179" fontId="3" fillId="0" borderId="57" xfId="0" applyNumberFormat="1" applyFont="1" applyFill="1" applyBorder="1" applyProtection="1">
      <alignment vertical="center"/>
    </xf>
    <xf numFmtId="0" fontId="17" fillId="0" borderId="0" xfId="0" applyFont="1" applyFill="1" applyBorder="1" applyAlignment="1" applyProtection="1">
      <alignment vertical="top"/>
    </xf>
    <xf numFmtId="0" fontId="4" fillId="0" borderId="10" xfId="14" applyFont="1" applyFill="1" applyBorder="1" applyAlignment="1" applyProtection="1">
      <alignment vertical="center"/>
    </xf>
    <xf numFmtId="0" fontId="3" fillId="0" borderId="0" xfId="0" applyFont="1" applyFill="1" applyBorder="1" applyProtection="1">
      <alignment vertical="center"/>
    </xf>
    <xf numFmtId="0" fontId="4" fillId="0" borderId="15" xfId="14" applyFont="1" applyFill="1" applyBorder="1" applyAlignment="1" applyProtection="1">
      <alignment vertical="center"/>
    </xf>
    <xf numFmtId="0" fontId="4" fillId="0" borderId="5" xfId="14" applyFont="1" applyFill="1" applyBorder="1" applyAlignment="1" applyProtection="1">
      <alignment vertical="center"/>
    </xf>
    <xf numFmtId="0" fontId="17" fillId="0" borderId="27" xfId="0" applyFont="1" applyFill="1" applyBorder="1" applyAlignment="1" applyProtection="1">
      <alignment vertical="top"/>
    </xf>
    <xf numFmtId="0" fontId="4" fillId="0" borderId="1" xfId="14" applyFont="1" applyFill="1" applyBorder="1" applyAlignment="1" applyProtection="1">
      <alignment vertical="center"/>
    </xf>
    <xf numFmtId="0" fontId="3" fillId="0" borderId="27" xfId="0" applyFont="1" applyFill="1" applyBorder="1" applyProtection="1">
      <alignment vertical="center"/>
    </xf>
    <xf numFmtId="0" fontId="15" fillId="0" borderId="0" xfId="0" applyFont="1" applyFill="1" applyBorder="1" applyProtection="1">
      <alignment vertical="center"/>
    </xf>
    <xf numFmtId="0" fontId="17" fillId="0" borderId="0" xfId="0" applyNumberFormat="1" applyFont="1" applyFill="1" applyBorder="1" applyAlignment="1" applyProtection="1">
      <alignment vertical="top"/>
    </xf>
    <xf numFmtId="180" fontId="4" fillId="0" borderId="0" xfId="3" applyNumberFormat="1" applyFont="1" applyFill="1" applyProtection="1">
      <alignment vertical="center"/>
    </xf>
    <xf numFmtId="49" fontId="17" fillId="0" borderId="0" xfId="0" applyNumberFormat="1" applyFont="1" applyFill="1" applyBorder="1" applyAlignment="1" applyProtection="1">
      <alignment vertical="top"/>
    </xf>
    <xf numFmtId="49" fontId="3" fillId="0" borderId="31" xfId="0" applyNumberFormat="1" applyFont="1" applyFill="1" applyBorder="1" applyProtection="1">
      <alignment vertical="center"/>
    </xf>
    <xf numFmtId="180" fontId="17" fillId="0" borderId="0" xfId="0" applyNumberFormat="1" applyFont="1" applyFill="1" applyBorder="1" applyAlignment="1" applyProtection="1">
      <alignment vertical="top"/>
    </xf>
    <xf numFmtId="49" fontId="4" fillId="0" borderId="0" xfId="3" applyNumberFormat="1" applyFont="1" applyFill="1" applyProtection="1">
      <alignment vertical="center"/>
    </xf>
    <xf numFmtId="177" fontId="17" fillId="0" borderId="0" xfId="0" applyNumberFormat="1" applyFont="1" applyFill="1" applyBorder="1" applyAlignment="1" applyProtection="1">
      <alignment vertical="top"/>
    </xf>
    <xf numFmtId="177" fontId="3" fillId="0" borderId="27" xfId="0" applyNumberFormat="1" applyFont="1" applyFill="1" applyBorder="1" applyProtection="1">
      <alignment vertical="center"/>
    </xf>
    <xf numFmtId="181" fontId="17" fillId="0" borderId="0" xfId="0" applyNumberFormat="1" applyFont="1" applyFill="1" applyBorder="1" applyAlignment="1" applyProtection="1">
      <alignment vertical="top"/>
    </xf>
    <xf numFmtId="177" fontId="3" fillId="0" borderId="0" xfId="0" applyNumberFormat="1" applyFont="1" applyFill="1" applyBorder="1" applyProtection="1">
      <alignment vertical="center"/>
    </xf>
    <xf numFmtId="177" fontId="4" fillId="0" borderId="0" xfId="2" applyNumberFormat="1" applyFont="1" applyFill="1" applyBorder="1" applyAlignment="1" applyProtection="1">
      <alignment horizontal="center" vertical="center"/>
    </xf>
    <xf numFmtId="0" fontId="3" fillId="0" borderId="2" xfId="0" applyFont="1" applyFill="1" applyBorder="1" applyAlignment="1" applyProtection="1">
      <alignment vertical="center"/>
    </xf>
    <xf numFmtId="0" fontId="3" fillId="0" borderId="54" xfId="0" applyFont="1" applyFill="1" applyBorder="1" applyAlignment="1" applyProtection="1">
      <alignment horizontal="center" vertical="center"/>
    </xf>
    <xf numFmtId="0" fontId="4" fillId="0" borderId="38" xfId="14" applyFont="1" applyFill="1" applyBorder="1" applyAlignment="1" applyProtection="1">
      <alignment horizontal="center" vertical="center"/>
    </xf>
    <xf numFmtId="0" fontId="4" fillId="0" borderId="9" xfId="14" applyFont="1" applyFill="1" applyBorder="1" applyAlignment="1" applyProtection="1">
      <alignment vertical="center"/>
    </xf>
    <xf numFmtId="0" fontId="4" fillId="0" borderId="14" xfId="14" applyFont="1" applyFill="1" applyBorder="1" applyAlignment="1" applyProtection="1">
      <alignment vertical="center"/>
    </xf>
    <xf numFmtId="0" fontId="4" fillId="0" borderId="4" xfId="14" applyFont="1" applyFill="1" applyBorder="1" applyAlignment="1" applyProtection="1">
      <alignment vertical="center"/>
    </xf>
    <xf numFmtId="176" fontId="4" fillId="0" borderId="9" xfId="14" applyNumberFormat="1" applyFont="1" applyFill="1" applyBorder="1" applyAlignment="1" applyProtection="1">
      <alignment vertical="center"/>
    </xf>
    <xf numFmtId="176" fontId="4" fillId="0" borderId="14" xfId="14" applyNumberFormat="1" applyFont="1" applyFill="1" applyBorder="1" applyAlignment="1" applyProtection="1">
      <alignment vertical="center"/>
    </xf>
    <xf numFmtId="176" fontId="4" fillId="0" borderId="4" xfId="14" applyNumberFormat="1" applyFont="1" applyFill="1" applyBorder="1" applyAlignment="1" applyProtection="1">
      <alignment vertical="center"/>
    </xf>
    <xf numFmtId="0" fontId="4" fillId="0" borderId="54" xfId="14" applyFont="1" applyFill="1" applyBorder="1" applyAlignment="1" applyProtection="1">
      <alignment vertical="center"/>
    </xf>
    <xf numFmtId="176" fontId="17" fillId="0" borderId="0" xfId="0" applyNumberFormat="1" applyFont="1" applyFill="1" applyBorder="1" applyAlignment="1" applyProtection="1">
      <alignment vertical="top"/>
    </xf>
    <xf numFmtId="0" fontId="4" fillId="4" borderId="14" xfId="14" applyNumberFormat="1" applyFont="1" applyFill="1" applyBorder="1" applyAlignment="1" applyProtection="1">
      <alignment horizontal="center" vertical="center"/>
    </xf>
    <xf numFmtId="0" fontId="4" fillId="4" borderId="4" xfId="14" applyNumberFormat="1" applyFont="1" applyFill="1" applyBorder="1" applyAlignment="1" applyProtection="1">
      <alignment horizontal="center" vertical="center"/>
    </xf>
    <xf numFmtId="0" fontId="26" fillId="0" borderId="0" xfId="6" applyFont="1" applyBorder="1" applyAlignment="1">
      <alignment vertical="center"/>
    </xf>
    <xf numFmtId="0" fontId="28" fillId="0" borderId="0" xfId="6" applyFont="1">
      <alignment vertical="center"/>
    </xf>
    <xf numFmtId="0" fontId="1" fillId="0" borderId="0" xfId="6">
      <alignment vertical="center"/>
    </xf>
    <xf numFmtId="0" fontId="28" fillId="0" borderId="0" xfId="6" applyFont="1" applyBorder="1">
      <alignment vertical="center"/>
    </xf>
    <xf numFmtId="0" fontId="29" fillId="0" borderId="0" xfId="6" applyFont="1" applyBorder="1">
      <alignment vertical="center"/>
    </xf>
    <xf numFmtId="0" fontId="29" fillId="0" borderId="0" xfId="6" applyFont="1">
      <alignment vertical="center"/>
    </xf>
    <xf numFmtId="0" fontId="30" fillId="0" borderId="0" xfId="6" applyFont="1" applyBorder="1">
      <alignment vertical="center"/>
    </xf>
    <xf numFmtId="0" fontId="28" fillId="0" borderId="0" xfId="6" applyFont="1" applyBorder="1" applyAlignment="1"/>
    <xf numFmtId="0" fontId="29" fillId="0" borderId="0" xfId="6" applyFont="1" applyBorder="1" applyAlignment="1"/>
    <xf numFmtId="0" fontId="1" fillId="0" borderId="0" xfId="6" applyAlignment="1"/>
    <xf numFmtId="0" fontId="28" fillId="0" borderId="0" xfId="6" applyFont="1" applyAlignment="1"/>
    <xf numFmtId="0" fontId="31" fillId="0" borderId="0" xfId="6" applyFont="1" applyFill="1" applyBorder="1" applyAlignment="1">
      <alignment horizontal="distributed" vertical="center" indent="1"/>
    </xf>
    <xf numFmtId="0" fontId="29" fillId="0" borderId="0" xfId="6" applyFont="1" applyBorder="1" applyAlignment="1">
      <alignment horizontal="distributed"/>
    </xf>
    <xf numFmtId="0" fontId="33" fillId="0" borderId="0" xfId="2" quotePrefix="1" applyNumberFormat="1" applyFont="1" applyBorder="1" applyAlignment="1" applyProtection="1"/>
    <xf numFmtId="0" fontId="33" fillId="0" borderId="0" xfId="2" applyNumberFormat="1" applyFont="1" applyBorder="1" applyAlignment="1" applyProtection="1"/>
    <xf numFmtId="0" fontId="29" fillId="0" borderId="52" xfId="6" applyFont="1" applyBorder="1" applyAlignment="1"/>
    <xf numFmtId="0" fontId="29" fillId="0" borderId="0" xfId="6" applyFont="1" applyAlignment="1"/>
    <xf numFmtId="0" fontId="29" fillId="0" borderId="0" xfId="6" applyFont="1" applyAlignment="1">
      <alignment horizontal="distributed"/>
    </xf>
    <xf numFmtId="0" fontId="33" fillId="0" borderId="0" xfId="2" applyFont="1" applyBorder="1" applyAlignment="1" applyProtection="1">
      <alignment horizontal="left" shrinkToFit="1"/>
    </xf>
    <xf numFmtId="0" fontId="33" fillId="0" borderId="0" xfId="14" applyFont="1" applyBorder="1" applyAlignment="1" applyProtection="1">
      <alignment horizontal="left" shrinkToFit="1"/>
    </xf>
    <xf numFmtId="0" fontId="29" fillId="0" borderId="52" xfId="6" applyFont="1" applyBorder="1" applyAlignment="1">
      <alignment vertical="center"/>
    </xf>
    <xf numFmtId="0" fontId="33" fillId="0" borderId="0" xfId="2" applyFont="1" applyAlignment="1" applyProtection="1">
      <alignment horizontal="distributed" vertical="center"/>
    </xf>
    <xf numFmtId="0" fontId="33" fillId="0" borderId="52" xfId="2" applyFont="1" applyBorder="1" applyAlignment="1" applyProtection="1">
      <alignment vertical="center"/>
    </xf>
    <xf numFmtId="0" fontId="33" fillId="0" borderId="0" xfId="14" quotePrefix="1" applyNumberFormat="1" applyFont="1" applyBorder="1" applyAlignment="1" applyProtection="1"/>
    <xf numFmtId="0" fontId="33" fillId="0" borderId="0" xfId="14" applyNumberFormat="1" applyFont="1" applyBorder="1" applyAlignment="1" applyProtection="1"/>
    <xf numFmtId="0" fontId="35" fillId="0" borderId="63" xfId="13" applyFont="1" applyBorder="1" applyAlignment="1" applyProtection="1">
      <alignment horizontal="left" shrinkToFit="1"/>
    </xf>
    <xf numFmtId="0" fontId="35" fillId="0" borderId="69" xfId="13" applyFont="1" applyBorder="1" applyAlignment="1" applyProtection="1">
      <alignment horizontal="left" shrinkToFit="1"/>
    </xf>
    <xf numFmtId="0" fontId="0" fillId="0" borderId="11" xfId="0" applyBorder="1">
      <alignment vertical="center"/>
    </xf>
    <xf numFmtId="0" fontId="0" fillId="0" borderId="12" xfId="0" applyBorder="1">
      <alignment vertical="center"/>
    </xf>
    <xf numFmtId="0" fontId="38" fillId="0" borderId="41" xfId="2" applyFont="1" applyBorder="1">
      <alignment vertical="center"/>
    </xf>
    <xf numFmtId="0" fontId="38" fillId="0" borderId="0" xfId="2" applyFont="1" applyBorder="1">
      <alignment vertical="center"/>
    </xf>
    <xf numFmtId="0" fontId="38" fillId="0" borderId="41" xfId="2" applyFont="1" applyBorder="1" applyAlignment="1">
      <alignment horizontal="center" vertical="center"/>
    </xf>
    <xf numFmtId="0" fontId="41" fillId="0" borderId="37" xfId="2" applyFont="1" applyBorder="1">
      <alignment vertical="center"/>
    </xf>
    <xf numFmtId="0" fontId="41" fillId="0" borderId="37" xfId="2" applyFont="1" applyBorder="1" applyAlignment="1">
      <alignment horizontal="left" vertical="center"/>
    </xf>
    <xf numFmtId="0" fontId="39" fillId="0" borderId="0" xfId="2" applyFont="1" applyBorder="1" applyAlignment="1">
      <alignment horizontal="left" vertical="center"/>
    </xf>
    <xf numFmtId="0" fontId="41" fillId="0" borderId="0" xfId="2" applyFont="1" applyBorder="1" applyAlignment="1">
      <alignment horizontal="right" vertical="center"/>
    </xf>
    <xf numFmtId="0" fontId="38" fillId="0" borderId="37" xfId="2" applyFont="1" applyBorder="1">
      <alignment vertical="center"/>
    </xf>
    <xf numFmtId="0" fontId="38" fillId="0" borderId="0" xfId="2" applyFont="1" applyBorder="1" applyAlignment="1">
      <alignment horizontal="right" vertical="center"/>
    </xf>
    <xf numFmtId="0" fontId="38" fillId="0" borderId="37" xfId="2" applyFont="1" applyBorder="1" applyAlignment="1">
      <alignment horizontal="right" vertical="center"/>
    </xf>
    <xf numFmtId="0" fontId="38" fillId="0" borderId="0" xfId="2" applyFont="1" applyBorder="1" applyAlignment="1">
      <alignment horizontal="left" vertical="center"/>
    </xf>
    <xf numFmtId="0" fontId="39" fillId="0" borderId="12" xfId="2" applyFont="1" applyBorder="1">
      <alignment vertical="center"/>
    </xf>
    <xf numFmtId="0" fontId="39" fillId="0" borderId="11" xfId="2" applyFont="1" applyBorder="1">
      <alignment vertical="center"/>
    </xf>
    <xf numFmtId="0" fontId="42" fillId="0" borderId="0" xfId="6" applyFont="1" applyBorder="1">
      <alignment vertical="center"/>
    </xf>
    <xf numFmtId="0" fontId="42" fillId="0" borderId="0" xfId="6" applyFont="1">
      <alignment vertical="center"/>
    </xf>
    <xf numFmtId="0" fontId="43" fillId="0" borderId="0" xfId="3" applyFont="1" applyAlignment="1">
      <alignment vertical="center"/>
    </xf>
    <xf numFmtId="0" fontId="44" fillId="0" borderId="0" xfId="3" applyFont="1" applyAlignment="1">
      <alignment vertical="center"/>
    </xf>
    <xf numFmtId="0" fontId="45" fillId="0" borderId="0" xfId="3" applyFont="1" applyAlignment="1">
      <alignment horizontal="center" vertical="center"/>
    </xf>
    <xf numFmtId="0" fontId="45" fillId="0" borderId="0" xfId="3" applyFont="1" applyBorder="1" applyAlignment="1">
      <alignment vertical="center"/>
    </xf>
    <xf numFmtId="0" fontId="45" fillId="0" borderId="52" xfId="3" applyFont="1" applyBorder="1" applyAlignment="1">
      <alignment vertical="center"/>
    </xf>
    <xf numFmtId="0" fontId="47" fillId="0" borderId="0" xfId="3" applyFont="1" applyAlignment="1">
      <alignment vertical="center"/>
    </xf>
    <xf numFmtId="0" fontId="48" fillId="0" borderId="0" xfId="3" applyFont="1" applyAlignment="1">
      <alignment vertical="center"/>
    </xf>
    <xf numFmtId="0" fontId="48" fillId="0" borderId="0" xfId="3" applyFont="1" applyBorder="1" applyAlignment="1">
      <alignment vertical="center"/>
    </xf>
    <xf numFmtId="0" fontId="45" fillId="0" borderId="0" xfId="3" applyFont="1" applyAlignment="1">
      <alignment vertical="center"/>
    </xf>
    <xf numFmtId="0" fontId="50" fillId="0" borderId="38" xfId="3" applyFont="1" applyBorder="1" applyAlignment="1">
      <alignment horizontal="center" vertical="center"/>
    </xf>
    <xf numFmtId="0" fontId="50" fillId="0" borderId="30" xfId="3" applyFont="1" applyBorder="1" applyAlignment="1">
      <alignment horizontal="center" vertical="center"/>
    </xf>
    <xf numFmtId="0" fontId="50" fillId="0" borderId="56" xfId="3" applyFont="1" applyBorder="1" applyAlignment="1">
      <alignment horizontal="center" vertical="center"/>
    </xf>
    <xf numFmtId="0" fontId="50" fillId="0" borderId="71" xfId="3" applyFont="1" applyBorder="1" applyAlignment="1">
      <alignment horizontal="center" vertical="center"/>
    </xf>
    <xf numFmtId="0" fontId="50" fillId="0" borderId="24" xfId="3" applyFont="1" applyBorder="1" applyAlignment="1">
      <alignment horizontal="center" vertical="center"/>
    </xf>
    <xf numFmtId="0" fontId="50" fillId="0" borderId="2" xfId="3" applyFont="1" applyBorder="1" applyAlignment="1">
      <alignment horizontal="center" vertical="center"/>
    </xf>
    <xf numFmtId="0" fontId="50" fillId="0" borderId="58" xfId="3" applyFont="1" applyBorder="1" applyAlignment="1">
      <alignment horizontal="center" vertical="center"/>
    </xf>
    <xf numFmtId="0" fontId="50" fillId="0" borderId="72" xfId="3" applyFont="1" applyBorder="1" applyAlignment="1">
      <alignment horizontal="center" vertical="center"/>
    </xf>
    <xf numFmtId="0" fontId="51" fillId="0" borderId="36" xfId="3" applyFont="1" applyBorder="1" applyAlignment="1">
      <alignment horizontal="center" vertical="center"/>
    </xf>
    <xf numFmtId="0" fontId="52" fillId="0" borderId="73" xfId="3" applyFont="1" applyBorder="1" applyAlignment="1">
      <alignment horizontal="center" vertical="center" shrinkToFit="1"/>
    </xf>
    <xf numFmtId="0" fontId="54" fillId="0" borderId="75" xfId="3" applyFont="1" applyFill="1" applyBorder="1" applyAlignment="1">
      <alignment horizontal="center" vertical="center"/>
    </xf>
    <xf numFmtId="0" fontId="50" fillId="0" borderId="76" xfId="3" applyFont="1" applyFill="1" applyBorder="1" applyAlignment="1">
      <alignment vertical="center" shrinkToFit="1"/>
    </xf>
    <xf numFmtId="0" fontId="52" fillId="0" borderId="7" xfId="3" applyFont="1" applyFill="1" applyBorder="1" applyAlignment="1">
      <alignment horizontal="center" vertical="center" shrinkToFit="1"/>
    </xf>
    <xf numFmtId="0" fontId="51" fillId="6" borderId="35" xfId="3" applyFont="1" applyFill="1" applyBorder="1" applyAlignment="1">
      <alignment horizontal="center" vertical="center"/>
    </xf>
    <xf numFmtId="0" fontId="52" fillId="0" borderId="77" xfId="3" applyFont="1" applyBorder="1" applyAlignment="1">
      <alignment horizontal="center" vertical="center" shrinkToFit="1"/>
    </xf>
    <xf numFmtId="0" fontId="54" fillId="0" borderId="59" xfId="3" applyFont="1" applyFill="1" applyBorder="1" applyAlignment="1">
      <alignment horizontal="center" vertical="center"/>
    </xf>
    <xf numFmtId="0" fontId="50" fillId="0" borderId="79" xfId="3" applyFont="1" applyFill="1" applyBorder="1" applyAlignment="1">
      <alignment vertical="center" shrinkToFit="1"/>
    </xf>
    <xf numFmtId="0" fontId="52" fillId="0" borderId="12" xfId="3" applyFont="1" applyFill="1" applyBorder="1" applyAlignment="1">
      <alignment horizontal="center" vertical="center" shrinkToFit="1"/>
    </xf>
    <xf numFmtId="0" fontId="51" fillId="6" borderId="39" xfId="3" applyFont="1" applyFill="1" applyBorder="1" applyAlignment="1">
      <alignment horizontal="center" vertical="center"/>
    </xf>
    <xf numFmtId="0" fontId="51" fillId="0" borderId="33" xfId="3" applyFont="1" applyBorder="1" applyAlignment="1">
      <alignment horizontal="center" vertical="center"/>
    </xf>
    <xf numFmtId="0" fontId="52" fillId="0" borderId="81" xfId="3" applyFont="1" applyBorder="1" applyAlignment="1">
      <alignment horizontal="center" vertical="center" shrinkToFit="1"/>
    </xf>
    <xf numFmtId="0" fontId="54" fillId="0" borderId="83" xfId="3" applyFont="1" applyFill="1" applyBorder="1" applyAlignment="1">
      <alignment horizontal="center" vertical="center"/>
    </xf>
    <xf numFmtId="0" fontId="50" fillId="0" borderId="84" xfId="3" applyFont="1" applyFill="1" applyBorder="1" applyAlignment="1">
      <alignment vertical="center" shrinkToFit="1"/>
    </xf>
    <xf numFmtId="0" fontId="52" fillId="0" borderId="17" xfId="3" applyFont="1" applyFill="1" applyBorder="1" applyAlignment="1">
      <alignment horizontal="center" vertical="center" shrinkToFit="1"/>
    </xf>
    <xf numFmtId="0" fontId="51" fillId="6" borderId="29" xfId="3" applyFont="1" applyFill="1" applyBorder="1" applyAlignment="1">
      <alignment horizontal="center" vertical="center"/>
    </xf>
    <xf numFmtId="0" fontId="54" fillId="0" borderId="86" xfId="3" applyFont="1" applyFill="1" applyBorder="1" applyAlignment="1">
      <alignment horizontal="center" vertical="center"/>
    </xf>
    <xf numFmtId="0" fontId="50" fillId="0" borderId="79" xfId="3" applyFont="1" applyBorder="1" applyAlignment="1">
      <alignment vertical="center" shrinkToFit="1"/>
    </xf>
    <xf numFmtId="0" fontId="52" fillId="0" borderId="12" xfId="3" applyFont="1" applyBorder="1" applyAlignment="1">
      <alignment horizontal="center" vertical="center" shrinkToFit="1"/>
    </xf>
    <xf numFmtId="0" fontId="52" fillId="0" borderId="81" xfId="3" applyFont="1" applyFill="1" applyBorder="1" applyAlignment="1">
      <alignment horizontal="center" vertical="center" shrinkToFit="1"/>
    </xf>
    <xf numFmtId="0" fontId="54" fillId="0" borderId="87" xfId="3" applyFont="1" applyFill="1" applyBorder="1" applyAlignment="1">
      <alignment horizontal="center" vertical="center"/>
    </xf>
    <xf numFmtId="0" fontId="50" fillId="0" borderId="84" xfId="3" applyFont="1" applyBorder="1" applyAlignment="1">
      <alignment vertical="center" shrinkToFit="1"/>
    </xf>
    <xf numFmtId="0" fontId="52" fillId="6" borderId="80" xfId="3" applyFont="1" applyFill="1" applyBorder="1" applyAlignment="1">
      <alignment horizontal="center" vertical="center" shrinkToFit="1"/>
    </xf>
    <xf numFmtId="0" fontId="53" fillId="6" borderId="80" xfId="3" applyFont="1" applyFill="1" applyBorder="1" applyAlignment="1">
      <alignment horizontal="center" vertical="center"/>
    </xf>
    <xf numFmtId="0" fontId="54" fillId="0" borderId="61" xfId="3" applyFont="1" applyFill="1" applyBorder="1" applyAlignment="1">
      <alignment horizontal="center" vertical="center"/>
    </xf>
    <xf numFmtId="0" fontId="50" fillId="0" borderId="53" xfId="3" applyFont="1" applyBorder="1" applyAlignment="1">
      <alignment vertical="center" shrinkToFit="1"/>
    </xf>
    <xf numFmtId="0" fontId="52" fillId="0" borderId="9" xfId="3" applyFont="1" applyBorder="1" applyAlignment="1">
      <alignment horizontal="center" vertical="center" shrinkToFit="1"/>
    </xf>
    <xf numFmtId="0" fontId="55" fillId="6" borderId="80" xfId="3" applyFont="1" applyFill="1" applyBorder="1" applyAlignment="1">
      <alignment horizontal="center" vertical="center"/>
    </xf>
    <xf numFmtId="0" fontId="56" fillId="6" borderId="65" xfId="3" applyFont="1" applyFill="1" applyBorder="1" applyAlignment="1">
      <alignment horizontal="center" vertical="center"/>
    </xf>
    <xf numFmtId="0" fontId="50" fillId="0" borderId="10" xfId="3" applyFont="1" applyBorder="1" applyAlignment="1">
      <alignment vertical="center" shrinkToFit="1"/>
    </xf>
    <xf numFmtId="0" fontId="54" fillId="0" borderId="88" xfId="3" applyFont="1" applyFill="1" applyBorder="1" applyAlignment="1">
      <alignment horizontal="center" vertical="center"/>
    </xf>
    <xf numFmtId="0" fontId="50" fillId="0" borderId="63" xfId="3" applyFont="1" applyBorder="1" applyAlignment="1">
      <alignment vertical="center" shrinkToFit="1"/>
    </xf>
    <xf numFmtId="0" fontId="52" fillId="0" borderId="64" xfId="3" applyFont="1" applyBorder="1" applyAlignment="1">
      <alignment horizontal="center" vertical="center" shrinkToFit="1"/>
    </xf>
    <xf numFmtId="0" fontId="55" fillId="6" borderId="57" xfId="3" applyFont="1" applyFill="1" applyBorder="1" applyAlignment="1">
      <alignment horizontal="center" vertical="center"/>
    </xf>
    <xf numFmtId="0" fontId="56" fillId="6" borderId="85" xfId="3" applyFont="1" applyFill="1" applyBorder="1" applyAlignment="1">
      <alignment horizontal="center" vertical="center"/>
    </xf>
    <xf numFmtId="0" fontId="51" fillId="0" borderId="89" xfId="3" applyFont="1" applyBorder="1" applyAlignment="1">
      <alignment horizontal="center" vertical="center"/>
    </xf>
    <xf numFmtId="0" fontId="52" fillId="0" borderId="31" xfId="3" applyFont="1" applyBorder="1" applyAlignment="1">
      <alignment horizontal="center" vertical="center" shrinkToFit="1"/>
    </xf>
    <xf numFmtId="0" fontId="53" fillId="0" borderId="90" xfId="3" applyFont="1" applyFill="1" applyBorder="1" applyAlignment="1">
      <alignment horizontal="center" vertical="center"/>
    </xf>
    <xf numFmtId="0" fontId="50" fillId="0" borderId="91" xfId="3" applyFont="1" applyFill="1" applyBorder="1" applyAlignment="1">
      <alignment vertical="center" shrinkToFit="1"/>
    </xf>
    <xf numFmtId="0" fontId="52" fillId="0" borderId="91" xfId="3" applyFont="1" applyFill="1" applyBorder="1" applyAlignment="1">
      <alignment horizontal="center" vertical="center" shrinkToFit="1"/>
    </xf>
    <xf numFmtId="38" fontId="57" fillId="0" borderId="76" xfId="18" applyNumberFormat="1" applyFont="1" applyBorder="1" applyAlignment="1">
      <alignment horizontal="right" vertical="center"/>
    </xf>
    <xf numFmtId="0" fontId="51" fillId="0" borderId="78" xfId="3" applyFont="1" applyBorder="1" applyAlignment="1">
      <alignment horizontal="center" vertical="center"/>
    </xf>
    <xf numFmtId="0" fontId="52" fillId="0" borderId="0" xfId="3" applyFont="1" applyBorder="1" applyAlignment="1">
      <alignment horizontal="center" vertical="center" shrinkToFit="1"/>
    </xf>
    <xf numFmtId="0" fontId="53" fillId="0" borderId="93" xfId="3" applyFont="1" applyFill="1" applyBorder="1" applyAlignment="1">
      <alignment horizontal="center" vertical="center"/>
    </xf>
    <xf numFmtId="0" fontId="50" fillId="0" borderId="10" xfId="3" applyFont="1" applyFill="1" applyBorder="1" applyAlignment="1">
      <alignment vertical="center" shrinkToFit="1"/>
    </xf>
    <xf numFmtId="0" fontId="52" fillId="0" borderId="10" xfId="3" applyFont="1" applyFill="1" applyBorder="1" applyAlignment="1">
      <alignment horizontal="center" vertical="center" shrinkToFit="1"/>
    </xf>
    <xf numFmtId="38" fontId="57" fillId="0" borderId="79" xfId="18" applyFont="1" applyBorder="1" applyAlignment="1">
      <alignment horizontal="right" vertical="center"/>
    </xf>
    <xf numFmtId="38" fontId="57" fillId="0" borderId="79" xfId="18" applyNumberFormat="1" applyFont="1" applyBorder="1" applyAlignment="1">
      <alignment horizontal="right" vertical="center"/>
    </xf>
    <xf numFmtId="38" fontId="57" fillId="0" borderId="79" xfId="18" quotePrefix="1" applyNumberFormat="1" applyFont="1" applyBorder="1" applyAlignment="1">
      <alignment horizontal="right" vertical="center"/>
    </xf>
    <xf numFmtId="0" fontId="45" fillId="0" borderId="78" xfId="3" applyFont="1" applyBorder="1" applyAlignment="1">
      <alignment vertical="center"/>
    </xf>
    <xf numFmtId="0" fontId="52" fillId="0" borderId="94" xfId="3" applyFont="1" applyBorder="1" applyAlignment="1">
      <alignment horizontal="center" vertical="center" shrinkToFit="1"/>
    </xf>
    <xf numFmtId="0" fontId="53" fillId="0" borderId="95" xfId="3" applyFont="1" applyFill="1" applyBorder="1" applyAlignment="1">
      <alignment horizontal="center" vertical="center"/>
    </xf>
    <xf numFmtId="0" fontId="50" fillId="0" borderId="96" xfId="3" applyFont="1" applyFill="1" applyBorder="1" applyAlignment="1">
      <alignment vertical="center" shrinkToFit="1"/>
    </xf>
    <xf numFmtId="0" fontId="52" fillId="0" borderId="96" xfId="3" applyFont="1" applyFill="1" applyBorder="1" applyAlignment="1">
      <alignment horizontal="center" vertical="center" shrinkToFit="1"/>
    </xf>
    <xf numFmtId="38" fontId="57" fillId="0" borderId="84" xfId="18" quotePrefix="1" applyNumberFormat="1" applyFont="1" applyBorder="1" applyAlignment="1">
      <alignment horizontal="right" vertical="center"/>
    </xf>
    <xf numFmtId="0" fontId="52" fillId="6" borderId="99" xfId="3" applyFont="1" applyFill="1" applyBorder="1" applyAlignment="1">
      <alignment horizontal="center" vertical="center" shrinkToFit="1"/>
    </xf>
    <xf numFmtId="0" fontId="52" fillId="0" borderId="23" xfId="3" applyFont="1" applyBorder="1" applyAlignment="1">
      <alignment horizontal="center" vertical="center" shrinkToFit="1"/>
    </xf>
    <xf numFmtId="0" fontId="51" fillId="6" borderId="41" xfId="3" applyFont="1" applyFill="1" applyBorder="1" applyAlignment="1">
      <alignment horizontal="center" vertical="center"/>
    </xf>
    <xf numFmtId="0" fontId="55" fillId="6" borderId="100" xfId="3" applyFont="1" applyFill="1" applyBorder="1" applyAlignment="1">
      <alignment horizontal="center" vertical="center"/>
    </xf>
    <xf numFmtId="0" fontId="56" fillId="6" borderId="101" xfId="3" applyFont="1" applyFill="1" applyBorder="1" applyAlignment="1">
      <alignment horizontal="center" vertical="center"/>
    </xf>
    <xf numFmtId="0" fontId="52" fillId="6" borderId="37" xfId="3" applyFont="1" applyFill="1" applyBorder="1" applyAlignment="1">
      <alignment horizontal="center" vertical="center" shrinkToFit="1"/>
    </xf>
    <xf numFmtId="0" fontId="51" fillId="6" borderId="37" xfId="3" applyFont="1" applyFill="1" applyBorder="1" applyAlignment="1">
      <alignment horizontal="center" vertical="center" shrinkToFit="1"/>
    </xf>
    <xf numFmtId="0" fontId="13" fillId="0" borderId="78" xfId="3" applyFont="1" applyBorder="1" applyAlignment="1">
      <alignment horizontal="center" vertical="center"/>
    </xf>
    <xf numFmtId="0" fontId="51" fillId="0" borderId="102" xfId="3" applyFont="1" applyBorder="1" applyAlignment="1">
      <alignment horizontal="center" vertical="center"/>
    </xf>
    <xf numFmtId="0" fontId="53" fillId="6" borderId="57" xfId="3" applyFont="1" applyFill="1" applyBorder="1" applyAlignment="1">
      <alignment horizontal="center" vertical="center"/>
    </xf>
    <xf numFmtId="0" fontId="54" fillId="0" borderId="60" xfId="3" applyFont="1" applyFill="1" applyBorder="1" applyAlignment="1">
      <alignment horizontal="center" vertical="center"/>
    </xf>
    <xf numFmtId="0" fontId="50" fillId="0" borderId="15" xfId="3" applyFont="1" applyBorder="1" applyAlignment="1">
      <alignment vertical="center" shrinkToFit="1"/>
    </xf>
    <xf numFmtId="0" fontId="52" fillId="0" borderId="14" xfId="3" applyFont="1" applyBorder="1" applyAlignment="1">
      <alignment vertical="center" shrinkToFit="1"/>
    </xf>
    <xf numFmtId="0" fontId="51" fillId="6" borderId="26" xfId="3" applyFont="1" applyFill="1" applyBorder="1" applyAlignment="1">
      <alignment horizontal="center" vertical="center"/>
    </xf>
    <xf numFmtId="0" fontId="52" fillId="0" borderId="56" xfId="3" applyFont="1" applyFill="1" applyBorder="1" applyAlignment="1">
      <alignment horizontal="center" vertical="center" shrinkToFit="1"/>
    </xf>
    <xf numFmtId="0" fontId="51" fillId="6" borderId="71" xfId="3" applyFont="1" applyFill="1" applyBorder="1" applyAlignment="1">
      <alignment horizontal="center" vertical="center"/>
    </xf>
    <xf numFmtId="0" fontId="51" fillId="6" borderId="65" xfId="3" applyFont="1" applyFill="1" applyBorder="1" applyAlignment="1">
      <alignment horizontal="center" vertical="center"/>
    </xf>
    <xf numFmtId="0" fontId="52" fillId="0" borderId="33" xfId="3" applyFont="1" applyBorder="1" applyAlignment="1">
      <alignment horizontal="center" vertical="center" shrinkToFit="1"/>
    </xf>
    <xf numFmtId="0" fontId="51" fillId="6" borderId="103" xfId="3" applyFont="1" applyFill="1" applyBorder="1" applyAlignment="1">
      <alignment horizontal="center" vertical="center"/>
    </xf>
    <xf numFmtId="0" fontId="52" fillId="0" borderId="36" xfId="3" applyFont="1" applyBorder="1" applyAlignment="1">
      <alignment horizontal="center" vertical="center" shrinkToFit="1"/>
    </xf>
    <xf numFmtId="0" fontId="54" fillId="0" borderId="104" xfId="3" applyFont="1" applyFill="1" applyBorder="1" applyAlignment="1">
      <alignment horizontal="center" vertical="center"/>
    </xf>
    <xf numFmtId="0" fontId="50" fillId="0" borderId="105" xfId="3" applyFont="1" applyFill="1" applyBorder="1" applyAlignment="1">
      <alignment vertical="center" shrinkToFit="1"/>
    </xf>
    <xf numFmtId="0" fontId="52" fillId="0" borderId="105" xfId="3" applyFont="1" applyFill="1" applyBorder="1" applyAlignment="1">
      <alignment horizontal="center" vertical="center" shrinkToFit="1"/>
    </xf>
    <xf numFmtId="38" fontId="57" fillId="0" borderId="106" xfId="18" quotePrefix="1" applyFont="1" applyBorder="1" applyAlignment="1">
      <alignment horizontal="right" vertical="center"/>
    </xf>
    <xf numFmtId="38" fontId="57" fillId="0" borderId="108" xfId="18" quotePrefix="1" applyFont="1" applyBorder="1" applyAlignment="1">
      <alignment horizontal="right" vertical="center"/>
    </xf>
    <xf numFmtId="0" fontId="53" fillId="0" borderId="110" xfId="3" applyFont="1" applyFill="1" applyBorder="1" applyAlignment="1">
      <alignment horizontal="center" vertical="center"/>
    </xf>
    <xf numFmtId="0" fontId="50" fillId="0" borderId="63" xfId="3" applyFont="1" applyFill="1" applyBorder="1" applyAlignment="1">
      <alignment vertical="center" shrinkToFit="1"/>
    </xf>
    <xf numFmtId="0" fontId="52" fillId="0" borderId="63" xfId="3" applyFont="1" applyFill="1" applyBorder="1" applyAlignment="1">
      <alignment horizontal="center" vertical="center" shrinkToFit="1"/>
    </xf>
    <xf numFmtId="0" fontId="54" fillId="0" borderId="111" xfId="3" applyFont="1" applyFill="1" applyBorder="1" applyAlignment="1">
      <alignment horizontal="center" vertical="center"/>
    </xf>
    <xf numFmtId="0" fontId="50" fillId="0" borderId="112" xfId="3" applyFont="1" applyFill="1" applyBorder="1" applyAlignment="1">
      <alignment vertical="center" shrinkToFit="1"/>
    </xf>
    <xf numFmtId="0" fontId="52" fillId="0" borderId="112" xfId="3" applyFont="1" applyFill="1" applyBorder="1" applyAlignment="1">
      <alignment horizontal="center" vertical="center" shrinkToFit="1"/>
    </xf>
    <xf numFmtId="38" fontId="57" fillId="0" borderId="113" xfId="18" quotePrefix="1" applyFont="1" applyBorder="1" applyAlignment="1">
      <alignment horizontal="right" vertical="center"/>
    </xf>
    <xf numFmtId="0" fontId="52" fillId="0" borderId="80" xfId="3" applyFont="1" applyBorder="1" applyAlignment="1">
      <alignment horizontal="center" vertical="center" shrinkToFit="1"/>
    </xf>
    <xf numFmtId="0" fontId="53" fillId="0" borderId="37" xfId="3" applyFont="1" applyFill="1" applyBorder="1" applyAlignment="1">
      <alignment horizontal="center" vertical="center"/>
    </xf>
    <xf numFmtId="0" fontId="54" fillId="0" borderId="80" xfId="3" applyFont="1" applyFill="1" applyBorder="1" applyAlignment="1">
      <alignment horizontal="center" vertical="center"/>
    </xf>
    <xf numFmtId="0" fontId="50" fillId="0" borderId="65" xfId="3" applyFont="1" applyFill="1" applyBorder="1" applyAlignment="1">
      <alignment vertical="center" shrinkToFit="1"/>
    </xf>
    <xf numFmtId="0" fontId="52" fillId="0" borderId="0" xfId="3" applyFont="1" applyFill="1" applyBorder="1" applyAlignment="1">
      <alignment horizontal="center" vertical="center" shrinkToFit="1"/>
    </xf>
    <xf numFmtId="181" fontId="51" fillId="0" borderId="0" xfId="3" applyNumberFormat="1" applyFont="1" applyBorder="1" applyAlignment="1">
      <alignment vertical="center"/>
    </xf>
    <xf numFmtId="0" fontId="55" fillId="0" borderId="37" xfId="3" applyFont="1" applyFill="1" applyBorder="1" applyAlignment="1">
      <alignment horizontal="center" vertical="center"/>
    </xf>
    <xf numFmtId="0" fontId="56" fillId="0" borderId="65" xfId="3" applyFont="1" applyFill="1" applyBorder="1" applyAlignment="1">
      <alignment horizontal="center" vertical="center"/>
    </xf>
    <xf numFmtId="0" fontId="52" fillId="0" borderId="115" xfId="3" applyFont="1" applyBorder="1" applyAlignment="1">
      <alignment horizontal="center" vertical="center" shrinkToFit="1"/>
    </xf>
    <xf numFmtId="0" fontId="53" fillId="0" borderId="116" xfId="3" applyFont="1" applyFill="1" applyBorder="1" applyAlignment="1">
      <alignment horizontal="center" vertical="center"/>
    </xf>
    <xf numFmtId="0" fontId="54" fillId="0" borderId="116" xfId="3" applyFont="1" applyFill="1" applyBorder="1" applyAlignment="1">
      <alignment horizontal="center" vertical="center"/>
    </xf>
    <xf numFmtId="0" fontId="50" fillId="0" borderId="117" xfId="3" applyFont="1" applyBorder="1" applyAlignment="1">
      <alignment vertical="center" shrinkToFit="1"/>
    </xf>
    <xf numFmtId="0" fontId="52" fillId="0" borderId="25" xfId="3" applyFont="1" applyBorder="1" applyAlignment="1">
      <alignment horizontal="center" vertical="center" shrinkToFit="1"/>
    </xf>
    <xf numFmtId="0" fontId="55" fillId="0" borderId="61" xfId="3" applyFont="1" applyFill="1" applyBorder="1" applyAlignment="1">
      <alignment horizontal="center" vertical="center" shrinkToFit="1"/>
    </xf>
    <xf numFmtId="0" fontId="56" fillId="0" borderId="118" xfId="3" applyFont="1" applyFill="1" applyBorder="1" applyAlignment="1">
      <alignment horizontal="center" vertical="center"/>
    </xf>
    <xf numFmtId="0" fontId="58" fillId="0" borderId="0" xfId="3" applyFont="1" applyAlignment="1">
      <alignment vertical="center"/>
    </xf>
    <xf numFmtId="0" fontId="51" fillId="0" borderId="0" xfId="3" applyFont="1" applyFill="1" applyBorder="1" applyAlignment="1">
      <alignment horizontal="center" vertical="center" shrinkToFit="1"/>
    </xf>
    <xf numFmtId="0" fontId="59" fillId="0" borderId="0" xfId="20" applyFont="1" applyFill="1" applyAlignment="1">
      <alignment vertical="center"/>
    </xf>
    <xf numFmtId="0" fontId="33" fillId="0" borderId="0" xfId="20" applyFont="1" applyFill="1" applyAlignment="1">
      <alignment vertical="center" shrinkToFit="1"/>
    </xf>
    <xf numFmtId="0" fontId="33" fillId="0" borderId="0" xfId="20" applyFont="1" applyFill="1" applyAlignment="1">
      <alignment vertical="center"/>
    </xf>
    <xf numFmtId="0" fontId="33" fillId="0" borderId="0" xfId="20" applyFont="1" applyFill="1" applyAlignment="1">
      <alignment horizontal="center" vertical="center"/>
    </xf>
    <xf numFmtId="0" fontId="48" fillId="0" borderId="58" xfId="20" applyFont="1" applyFill="1" applyBorder="1" applyAlignment="1">
      <alignment horizontal="center" vertical="center"/>
    </xf>
    <xf numFmtId="0" fontId="33" fillId="0" borderId="54" xfId="20" applyFont="1" applyFill="1" applyBorder="1" applyAlignment="1">
      <alignment horizontal="center" vertical="center" shrinkToFit="1"/>
    </xf>
    <xf numFmtId="0" fontId="33" fillId="0" borderId="72" xfId="20" applyFont="1" applyFill="1" applyBorder="1" applyAlignment="1">
      <alignment horizontal="center" vertical="center"/>
    </xf>
    <xf numFmtId="0" fontId="33" fillId="0" borderId="122" xfId="20" applyFont="1" applyFill="1" applyBorder="1" applyAlignment="1">
      <alignment horizontal="center" vertical="center" shrinkToFit="1"/>
    </xf>
    <xf numFmtId="0" fontId="33" fillId="0" borderId="56" xfId="20" applyFont="1" applyFill="1" applyBorder="1" applyAlignment="1">
      <alignment horizontal="center" vertical="center" shrinkToFit="1"/>
    </xf>
    <xf numFmtId="0" fontId="33" fillId="0" borderId="34" xfId="20" applyFont="1" applyFill="1" applyBorder="1" applyAlignment="1">
      <alignment horizontal="center" vertical="center" shrinkToFit="1"/>
    </xf>
    <xf numFmtId="0" fontId="36" fillId="0" borderId="36" xfId="20" applyFont="1" applyFill="1" applyBorder="1" applyAlignment="1">
      <alignment vertical="center"/>
    </xf>
    <xf numFmtId="0" fontId="33" fillId="0" borderId="0" xfId="20" applyFont="1" applyFill="1" applyBorder="1" applyAlignment="1">
      <alignment horizontal="center" vertical="center" shrinkToFit="1"/>
    </xf>
    <xf numFmtId="0" fontId="52" fillId="0" borderId="62" xfId="20" quotePrefix="1" applyFont="1" applyFill="1" applyBorder="1" applyAlignment="1">
      <alignment horizontal="center" vertical="center"/>
    </xf>
    <xf numFmtId="0" fontId="33" fillId="0" borderId="8" xfId="20" quotePrefix="1" applyFont="1" applyFill="1" applyBorder="1" applyAlignment="1">
      <alignment horizontal="center" vertical="center"/>
    </xf>
    <xf numFmtId="0" fontId="33" fillId="6" borderId="123" xfId="20" quotePrefix="1" applyFont="1" applyFill="1" applyBorder="1" applyAlignment="1">
      <alignment horizontal="center" vertical="center" shrinkToFit="1"/>
    </xf>
    <xf numFmtId="0" fontId="33" fillId="0" borderId="0" xfId="20" applyFont="1" applyFill="1" applyBorder="1" applyAlignment="1">
      <alignment vertical="center"/>
    </xf>
    <xf numFmtId="0" fontId="52" fillId="0" borderId="88" xfId="20" quotePrefix="1" applyFont="1" applyFill="1" applyBorder="1" applyAlignment="1">
      <alignment horizontal="center" vertical="center"/>
    </xf>
    <xf numFmtId="0" fontId="33" fillId="0" borderId="124" xfId="20" quotePrefix="1" applyFont="1" applyFill="1" applyBorder="1" applyAlignment="1">
      <alignment horizontal="center" vertical="center"/>
    </xf>
    <xf numFmtId="0" fontId="33" fillId="6" borderId="125" xfId="20" quotePrefix="1" applyFont="1" applyFill="1" applyBorder="1" applyAlignment="1">
      <alignment horizontal="center" vertical="center" shrinkToFit="1"/>
    </xf>
    <xf numFmtId="0" fontId="33" fillId="0" borderId="36" xfId="20" applyFont="1" applyFill="1" applyBorder="1" applyAlignment="1">
      <alignment vertical="center"/>
    </xf>
    <xf numFmtId="0" fontId="52" fillId="0" borderId="59" xfId="20" quotePrefix="1" applyFont="1" applyFill="1" applyBorder="1" applyAlignment="1">
      <alignment horizontal="center" vertical="center"/>
    </xf>
    <xf numFmtId="0" fontId="33" fillId="0" borderId="13" xfId="20" quotePrefix="1" applyFont="1" applyFill="1" applyBorder="1" applyAlignment="1">
      <alignment horizontal="center" vertical="center"/>
    </xf>
    <xf numFmtId="0" fontId="33" fillId="6" borderId="126" xfId="20" quotePrefix="1" applyFont="1" applyFill="1" applyBorder="1" applyAlignment="1">
      <alignment horizontal="center" vertical="center" shrinkToFit="1"/>
    </xf>
    <xf numFmtId="0" fontId="33" fillId="0" borderId="33" xfId="20" applyFont="1" applyFill="1" applyBorder="1" applyAlignment="1">
      <alignment vertical="center"/>
    </xf>
    <xf numFmtId="0" fontId="33" fillId="0" borderId="27" xfId="20" applyFont="1" applyFill="1" applyBorder="1" applyAlignment="1">
      <alignment vertical="center"/>
    </xf>
    <xf numFmtId="0" fontId="33" fillId="0" borderId="18" xfId="20" quotePrefix="1" applyFont="1" applyFill="1" applyBorder="1" applyAlignment="1">
      <alignment horizontal="center" vertical="center"/>
    </xf>
    <xf numFmtId="0" fontId="33" fillId="0" borderId="24" xfId="20" applyFont="1" applyFill="1" applyBorder="1" applyAlignment="1">
      <alignment horizontal="center" vertical="center"/>
    </xf>
    <xf numFmtId="0" fontId="33" fillId="0" borderId="24" xfId="20" applyFont="1" applyFill="1" applyBorder="1" applyAlignment="1">
      <alignment horizontal="center" vertical="center" shrinkToFit="1"/>
    </xf>
    <xf numFmtId="0" fontId="33" fillId="0" borderId="71" xfId="20" applyFont="1" applyFill="1" applyBorder="1" applyAlignment="1">
      <alignment horizontal="center" vertical="center" shrinkToFit="1"/>
    </xf>
    <xf numFmtId="0" fontId="52" fillId="0" borderId="24" xfId="20" applyFont="1" applyFill="1" applyBorder="1" applyAlignment="1">
      <alignment horizontal="center" vertical="center" shrinkToFit="1"/>
    </xf>
    <xf numFmtId="0" fontId="33" fillId="0" borderId="127" xfId="20" applyFont="1" applyFill="1" applyBorder="1" applyAlignment="1">
      <alignment vertical="center" shrinkToFit="1"/>
    </xf>
    <xf numFmtId="0" fontId="33" fillId="0" borderId="123" xfId="20" applyFont="1" applyFill="1" applyBorder="1" applyAlignment="1">
      <alignment vertical="center" shrinkToFit="1"/>
    </xf>
    <xf numFmtId="0" fontId="52" fillId="0" borderId="40" xfId="20" applyFont="1" applyFill="1" applyBorder="1" applyAlignment="1">
      <alignment horizontal="center" vertical="center" shrinkToFit="1"/>
    </xf>
    <xf numFmtId="0" fontId="33" fillId="0" borderId="40" xfId="20" applyFont="1" applyFill="1" applyBorder="1" applyAlignment="1">
      <alignment horizontal="center" vertical="center" shrinkToFit="1"/>
    </xf>
    <xf numFmtId="0" fontId="33" fillId="0" borderId="119" xfId="20" applyFont="1" applyFill="1" applyBorder="1" applyAlignment="1">
      <alignment vertical="center" shrinkToFit="1"/>
    </xf>
    <xf numFmtId="0" fontId="33" fillId="0" borderId="126" xfId="20" applyFont="1" applyFill="1" applyBorder="1" applyAlignment="1">
      <alignment vertical="center" shrinkToFit="1"/>
    </xf>
    <xf numFmtId="0" fontId="33" fillId="0" borderId="23" xfId="20" applyFont="1" applyFill="1" applyBorder="1" applyAlignment="1">
      <alignment horizontal="center" vertical="center" shrinkToFit="1"/>
    </xf>
    <xf numFmtId="0" fontId="33" fillId="0" borderId="9" xfId="20" applyFont="1" applyFill="1" applyBorder="1" applyAlignment="1">
      <alignment horizontal="center" vertical="center" shrinkToFit="1"/>
    </xf>
    <xf numFmtId="0" fontId="52" fillId="0" borderId="128" xfId="20" quotePrefix="1" applyFont="1" applyFill="1" applyBorder="1" applyAlignment="1">
      <alignment horizontal="center" vertical="center"/>
    </xf>
    <xf numFmtId="0" fontId="33" fillId="0" borderId="129" xfId="20" applyFont="1" applyFill="1" applyBorder="1" applyAlignment="1">
      <alignment horizontal="center" vertical="center" shrinkToFit="1"/>
    </xf>
    <xf numFmtId="0" fontId="33" fillId="0" borderId="130" xfId="20" applyFont="1" applyFill="1" applyBorder="1" applyAlignment="1">
      <alignment vertical="center" shrinkToFit="1"/>
    </xf>
    <xf numFmtId="0" fontId="33" fillId="0" borderId="131" xfId="20" applyFont="1" applyFill="1" applyBorder="1" applyAlignment="1">
      <alignment vertical="center" shrinkToFit="1"/>
    </xf>
    <xf numFmtId="0" fontId="52" fillId="0" borderId="134" xfId="20" quotePrefix="1" applyFont="1" applyFill="1" applyBorder="1" applyAlignment="1">
      <alignment horizontal="center" vertical="center"/>
    </xf>
    <xf numFmtId="0" fontId="33" fillId="0" borderId="135" xfId="20" applyFont="1" applyFill="1" applyBorder="1" applyAlignment="1">
      <alignment horizontal="center" vertical="center" shrinkToFit="1"/>
    </xf>
    <xf numFmtId="0" fontId="33" fillId="0" borderId="136" xfId="20" applyFont="1" applyFill="1" applyBorder="1" applyAlignment="1">
      <alignment vertical="center" shrinkToFit="1"/>
    </xf>
    <xf numFmtId="0" fontId="33" fillId="0" borderId="137" xfId="20" applyFont="1" applyFill="1" applyBorder="1" applyAlignment="1">
      <alignment vertical="center" shrinkToFit="1"/>
    </xf>
    <xf numFmtId="0" fontId="33" fillId="0" borderId="64" xfId="20" applyFont="1" applyFill="1" applyBorder="1" applyAlignment="1">
      <alignment horizontal="center" vertical="center" shrinkToFit="1"/>
    </xf>
    <xf numFmtId="0" fontId="33" fillId="0" borderId="119" xfId="20" applyFont="1" applyFill="1" applyBorder="1" applyAlignment="1">
      <alignment vertical="center"/>
    </xf>
    <xf numFmtId="0" fontId="52" fillId="0" borderId="55" xfId="20" applyFont="1" applyFill="1" applyBorder="1" applyAlignment="1">
      <alignment horizontal="center" vertical="center" shrinkToFit="1"/>
    </xf>
    <xf numFmtId="0" fontId="33" fillId="0" borderId="14" xfId="20" applyFont="1" applyFill="1" applyBorder="1" applyAlignment="1">
      <alignment horizontal="center" vertical="center" shrinkToFit="1"/>
    </xf>
    <xf numFmtId="0" fontId="33" fillId="0" borderId="121" xfId="20" applyFont="1" applyFill="1" applyBorder="1" applyAlignment="1">
      <alignment vertical="center"/>
    </xf>
    <xf numFmtId="0" fontId="33" fillId="0" borderId="120" xfId="20" applyFont="1" applyFill="1" applyBorder="1" applyAlignment="1">
      <alignment vertical="center" shrinkToFit="1"/>
    </xf>
    <xf numFmtId="0" fontId="52" fillId="0" borderId="60" xfId="20" quotePrefix="1" applyFont="1" applyFill="1" applyBorder="1" applyAlignment="1">
      <alignment horizontal="center" vertical="center"/>
    </xf>
    <xf numFmtId="0" fontId="33" fillId="0" borderId="55" xfId="20" applyFont="1" applyFill="1" applyBorder="1" applyAlignment="1">
      <alignment horizontal="center" vertical="center" shrinkToFit="1"/>
    </xf>
    <xf numFmtId="0" fontId="52" fillId="0" borderId="62" xfId="20" applyNumberFormat="1" applyFont="1" applyFill="1" applyBorder="1" applyAlignment="1">
      <alignment horizontal="center" vertical="center"/>
    </xf>
    <xf numFmtId="49" fontId="52" fillId="0" borderId="24" xfId="20" applyNumberFormat="1" applyFont="1" applyFill="1" applyBorder="1" applyAlignment="1">
      <alignment horizontal="center" vertical="center" shrinkToFit="1"/>
    </xf>
    <xf numFmtId="0" fontId="33" fillId="6" borderId="123" xfId="20" applyFont="1" applyFill="1" applyBorder="1" applyAlignment="1">
      <alignment horizontal="center" vertical="center" shrinkToFit="1"/>
    </xf>
    <xf numFmtId="0" fontId="52" fillId="0" borderId="59" xfId="20" applyNumberFormat="1" applyFont="1" applyFill="1" applyBorder="1" applyAlignment="1">
      <alignment horizontal="center" vertical="center"/>
    </xf>
    <xf numFmtId="49" fontId="52" fillId="0" borderId="40" xfId="20" applyNumberFormat="1" applyFont="1" applyFill="1" applyBorder="1" applyAlignment="1">
      <alignment horizontal="center" vertical="center" shrinkToFit="1"/>
    </xf>
    <xf numFmtId="0" fontId="33" fillId="6" borderId="126" xfId="20" applyFont="1" applyFill="1" applyBorder="1" applyAlignment="1">
      <alignment horizontal="center" vertical="center" shrinkToFit="1"/>
    </xf>
    <xf numFmtId="0" fontId="61" fillId="0" borderId="0" xfId="20" applyFont="1" applyFill="1" applyBorder="1" applyAlignment="1">
      <alignment vertical="center"/>
    </xf>
    <xf numFmtId="0" fontId="7" fillId="0" borderId="0" xfId="3" applyBorder="1" applyAlignment="1">
      <alignment vertical="center"/>
    </xf>
    <xf numFmtId="0" fontId="33" fillId="0" borderId="0" xfId="20" applyFont="1" applyFill="1" applyBorder="1" applyAlignment="1">
      <alignment horizontal="center" vertical="center"/>
    </xf>
    <xf numFmtId="0" fontId="52" fillId="0" borderId="0" xfId="20" applyFont="1" applyFill="1" applyBorder="1" applyAlignment="1">
      <alignment horizontal="center" vertical="center"/>
    </xf>
    <xf numFmtId="0" fontId="52" fillId="0" borderId="128" xfId="20" applyNumberFormat="1" applyFont="1" applyFill="1" applyBorder="1" applyAlignment="1">
      <alignment horizontal="center" vertical="center"/>
    </xf>
    <xf numFmtId="0" fontId="33" fillId="6" borderId="131" xfId="20" applyFont="1" applyFill="1" applyBorder="1" applyAlignment="1">
      <alignment horizontal="center" vertical="center" shrinkToFit="1"/>
    </xf>
    <xf numFmtId="184" fontId="62" fillId="0" borderId="0" xfId="20" applyNumberFormat="1" applyFont="1" applyFill="1" applyBorder="1" applyAlignment="1">
      <alignment vertical="center"/>
    </xf>
    <xf numFmtId="0" fontId="52" fillId="0" borderId="134" xfId="20" applyNumberFormat="1" applyFont="1" applyFill="1" applyBorder="1" applyAlignment="1">
      <alignment horizontal="center" vertical="center"/>
    </xf>
    <xf numFmtId="0" fontId="33" fillId="6" borderId="137" xfId="20" applyFont="1" applyFill="1" applyBorder="1" applyAlignment="1">
      <alignment horizontal="center" vertical="center" shrinkToFit="1"/>
    </xf>
    <xf numFmtId="0" fontId="13" fillId="0" borderId="0" xfId="20" applyFont="1" applyFill="1" applyBorder="1" applyAlignment="1">
      <alignment horizontal="center" vertical="center"/>
    </xf>
    <xf numFmtId="49" fontId="52" fillId="0" borderId="55" xfId="20" applyNumberFormat="1" applyFont="1" applyFill="1" applyBorder="1" applyAlignment="1">
      <alignment horizontal="center" vertical="center" shrinkToFit="1"/>
    </xf>
    <xf numFmtId="0" fontId="33" fillId="6" borderId="120" xfId="20" applyFont="1" applyFill="1" applyBorder="1" applyAlignment="1">
      <alignment horizontal="center" vertical="center" shrinkToFit="1"/>
    </xf>
    <xf numFmtId="0" fontId="33" fillId="0" borderId="123" xfId="20" applyFont="1" applyFill="1" applyBorder="1" applyAlignment="1">
      <alignment horizontal="center" vertical="center" shrinkToFit="1"/>
    </xf>
    <xf numFmtId="0" fontId="58" fillId="0" borderId="0" xfId="20" applyFont="1" applyFill="1" applyBorder="1" applyAlignment="1">
      <alignment vertical="center"/>
    </xf>
    <xf numFmtId="0" fontId="58" fillId="0" borderId="0" xfId="20" applyFont="1" applyFill="1" applyBorder="1" applyAlignment="1">
      <alignment horizontal="center" vertical="center"/>
    </xf>
    <xf numFmtId="0" fontId="63" fillId="0" borderId="0" xfId="20" applyFont="1" applyFill="1" applyBorder="1" applyAlignment="1">
      <alignment horizontal="center" vertical="center"/>
    </xf>
    <xf numFmtId="0" fontId="33" fillId="0" borderId="126" xfId="20" applyFont="1" applyFill="1" applyBorder="1" applyAlignment="1">
      <alignment horizontal="center" vertical="center" shrinkToFit="1"/>
    </xf>
    <xf numFmtId="0" fontId="52" fillId="0" borderId="60" xfId="20" applyNumberFormat="1" applyFont="1" applyFill="1" applyBorder="1" applyAlignment="1">
      <alignment horizontal="center" vertical="center"/>
    </xf>
    <xf numFmtId="0" fontId="33" fillId="0" borderId="120" xfId="20" applyFont="1" applyFill="1" applyBorder="1" applyAlignment="1">
      <alignment horizontal="center" vertical="center" shrinkToFit="1"/>
    </xf>
    <xf numFmtId="0" fontId="48" fillId="0" borderId="0" xfId="20" applyFont="1" applyFill="1" applyBorder="1" applyAlignment="1">
      <alignment horizontal="center" vertical="center"/>
    </xf>
    <xf numFmtId="0" fontId="64" fillId="0" borderId="0" xfId="20" applyFont="1" applyFill="1" applyBorder="1" applyAlignment="1">
      <alignment horizontal="center" vertical="center"/>
    </xf>
    <xf numFmtId="49" fontId="52" fillId="0" borderId="4" xfId="20" applyNumberFormat="1" applyFont="1" applyFill="1" applyBorder="1" applyAlignment="1">
      <alignment vertical="center" shrinkToFit="1"/>
    </xf>
    <xf numFmtId="0" fontId="48" fillId="0" borderId="0" xfId="20" applyFont="1" applyFill="1" applyBorder="1" applyAlignment="1">
      <alignment vertical="center"/>
    </xf>
    <xf numFmtId="49" fontId="52" fillId="0" borderId="9" xfId="20" applyNumberFormat="1" applyFont="1" applyFill="1" applyBorder="1" applyAlignment="1">
      <alignment vertical="center" shrinkToFit="1"/>
    </xf>
    <xf numFmtId="0" fontId="48" fillId="0" borderId="0" xfId="20" applyFont="1" applyFill="1" applyAlignment="1">
      <alignment vertical="center"/>
    </xf>
    <xf numFmtId="0" fontId="52" fillId="0" borderId="10" xfId="20" applyFont="1" applyFill="1" applyBorder="1" applyAlignment="1">
      <alignment vertical="center"/>
    </xf>
    <xf numFmtId="0" fontId="33" fillId="0" borderId="11" xfId="20" quotePrefix="1" applyFont="1" applyFill="1" applyBorder="1" applyAlignment="1">
      <alignment horizontal="center" vertical="center" shrinkToFit="1"/>
    </xf>
    <xf numFmtId="0" fontId="65" fillId="0" borderId="0" xfId="20" applyFont="1" applyFill="1" applyBorder="1" applyAlignment="1">
      <alignment vertical="center"/>
    </xf>
    <xf numFmtId="0" fontId="7" fillId="0" borderId="0" xfId="3" applyAlignment="1">
      <alignment vertical="center"/>
    </xf>
    <xf numFmtId="0" fontId="52" fillId="0" borderId="21" xfId="20" applyNumberFormat="1" applyFont="1" applyFill="1" applyBorder="1" applyAlignment="1">
      <alignment horizontal="center" vertical="center"/>
    </xf>
    <xf numFmtId="0" fontId="52" fillId="0" borderId="88" xfId="20" applyNumberFormat="1" applyFont="1" applyFill="1" applyBorder="1" applyAlignment="1">
      <alignment horizontal="center" vertical="center"/>
    </xf>
    <xf numFmtId="0" fontId="33" fillId="0" borderId="125" xfId="20" applyFont="1" applyFill="1" applyBorder="1" applyAlignment="1">
      <alignment horizontal="center" vertical="center" shrinkToFit="1"/>
    </xf>
    <xf numFmtId="0" fontId="52" fillId="0" borderId="1" xfId="20" applyFont="1" applyFill="1" applyBorder="1" applyAlignment="1">
      <alignment vertical="center"/>
    </xf>
    <xf numFmtId="0" fontId="52" fillId="0" borderId="2" xfId="20" applyFont="1" applyFill="1" applyBorder="1" applyAlignment="1">
      <alignment vertical="center" shrinkToFit="1"/>
    </xf>
    <xf numFmtId="0" fontId="33" fillId="0" borderId="3" xfId="20" quotePrefix="1" applyFont="1" applyFill="1" applyBorder="1" applyAlignment="1">
      <alignment horizontal="center" vertical="center"/>
    </xf>
    <xf numFmtId="0" fontId="33" fillId="0" borderId="122" xfId="20" quotePrefix="1" applyFont="1" applyFill="1" applyBorder="1" applyAlignment="1">
      <alignment horizontal="center" vertical="center" shrinkToFit="1"/>
    </xf>
    <xf numFmtId="0" fontId="33" fillId="0" borderId="123" xfId="20" quotePrefix="1" applyFont="1" applyFill="1" applyBorder="1" applyAlignment="1">
      <alignment horizontal="center" vertical="center" shrinkToFit="1"/>
    </xf>
    <xf numFmtId="0" fontId="33" fillId="0" borderId="126" xfId="20" quotePrefix="1" applyFont="1" applyFill="1" applyBorder="1" applyAlignment="1">
      <alignment horizontal="center" vertical="center" shrinkToFit="1"/>
    </xf>
    <xf numFmtId="0" fontId="33" fillId="0" borderId="120" xfId="20" quotePrefix="1" applyFont="1" applyFill="1" applyBorder="1" applyAlignment="1">
      <alignment horizontal="center" vertical="center" shrinkToFit="1"/>
    </xf>
    <xf numFmtId="0" fontId="3" fillId="0" borderId="0" xfId="0" applyFont="1" applyFill="1" applyBorder="1" applyAlignment="1" applyProtection="1">
      <alignment vertical="center"/>
    </xf>
    <xf numFmtId="0" fontId="3" fillId="0" borderId="0" xfId="0" applyFont="1" applyFill="1" applyBorder="1" applyProtection="1">
      <alignment vertical="center"/>
    </xf>
    <xf numFmtId="185" fontId="4" fillId="0" borderId="0" xfId="2" applyNumberFormat="1" applyFont="1" applyFill="1" applyProtection="1">
      <alignment vertical="center"/>
    </xf>
    <xf numFmtId="0" fontId="4" fillId="0" borderId="9" xfId="14" applyFont="1" applyFill="1" applyBorder="1" applyAlignment="1" applyProtection="1">
      <alignment horizontal="center" vertical="center"/>
    </xf>
    <xf numFmtId="0" fontId="4" fillId="0" borderId="9" xfId="14" applyFont="1" applyFill="1" applyBorder="1" applyAlignment="1" applyProtection="1">
      <alignment horizontal="center" vertical="center" shrinkToFit="1"/>
    </xf>
    <xf numFmtId="0" fontId="4" fillId="0" borderId="14" xfId="14" applyFont="1" applyFill="1" applyBorder="1" applyAlignment="1" applyProtection="1">
      <alignment horizontal="center" vertical="center" shrinkToFit="1"/>
    </xf>
    <xf numFmtId="14" fontId="33" fillId="0" borderId="52" xfId="2" applyNumberFormat="1" applyFont="1" applyBorder="1" applyAlignment="1" applyProtection="1"/>
    <xf numFmtId="0" fontId="1" fillId="0" borderId="52" xfId="6" applyBorder="1" applyAlignment="1"/>
    <xf numFmtId="184" fontId="60" fillId="0" borderId="62" xfId="20" quotePrefix="1" applyNumberFormat="1" applyFont="1" applyFill="1" applyBorder="1" applyAlignment="1">
      <alignment horizontal="right" vertical="center" shrinkToFit="1"/>
    </xf>
    <xf numFmtId="184" fontId="60" fillId="0" borderId="5" xfId="20" quotePrefix="1" applyNumberFormat="1" applyFont="1" applyFill="1" applyBorder="1" applyAlignment="1">
      <alignment horizontal="right" vertical="center" shrinkToFit="1"/>
    </xf>
    <xf numFmtId="184" fontId="60" fillId="0" borderId="60" xfId="20" quotePrefix="1" applyNumberFormat="1" applyFont="1" applyFill="1" applyBorder="1" applyAlignment="1">
      <alignment horizontal="right" vertical="center" shrinkToFit="1"/>
    </xf>
    <xf numFmtId="184" fontId="60" fillId="0" borderId="15" xfId="20" quotePrefix="1" applyNumberFormat="1" applyFont="1" applyFill="1" applyBorder="1" applyAlignment="1">
      <alignment horizontal="right" vertical="center" shrinkToFit="1"/>
    </xf>
    <xf numFmtId="184" fontId="60" fillId="0" borderId="59" xfId="20" quotePrefix="1" applyNumberFormat="1" applyFont="1" applyFill="1" applyBorder="1" applyAlignment="1">
      <alignment horizontal="right" vertical="center" shrinkToFit="1"/>
    </xf>
    <xf numFmtId="184" fontId="60" fillId="0" borderId="10" xfId="20" quotePrefix="1" applyNumberFormat="1" applyFont="1" applyFill="1" applyBorder="1" applyAlignment="1">
      <alignment horizontal="right" vertical="center" shrinkToFit="1"/>
    </xf>
    <xf numFmtId="184" fontId="60" fillId="0" borderId="121" xfId="20" quotePrefix="1" applyNumberFormat="1" applyFont="1" applyFill="1" applyBorder="1" applyAlignment="1">
      <alignment horizontal="right" vertical="center" shrinkToFit="1"/>
    </xf>
    <xf numFmtId="184" fontId="60" fillId="0" borderId="62" xfId="20" applyNumberFormat="1" applyFont="1" applyFill="1" applyBorder="1" applyAlignment="1">
      <alignment horizontal="right" vertical="center" shrinkToFit="1"/>
    </xf>
    <xf numFmtId="184" fontId="60" fillId="0" borderId="127" xfId="20" applyNumberFormat="1" applyFont="1" applyFill="1" applyBorder="1" applyAlignment="1">
      <alignment horizontal="right" vertical="center" shrinkToFit="1"/>
    </xf>
    <xf numFmtId="184" fontId="60" fillId="0" borderId="59" xfId="20" applyNumberFormat="1" applyFont="1" applyFill="1" applyBorder="1" applyAlignment="1">
      <alignment horizontal="right" vertical="center" shrinkToFit="1"/>
    </xf>
    <xf numFmtId="184" fontId="60" fillId="0" borderId="119" xfId="20" applyNumberFormat="1" applyFont="1" applyFill="1" applyBorder="1" applyAlignment="1">
      <alignment horizontal="right" vertical="center" shrinkToFit="1"/>
    </xf>
    <xf numFmtId="184" fontId="60" fillId="0" borderId="128" xfId="20" applyNumberFormat="1" applyFont="1" applyFill="1" applyBorder="1" applyAlignment="1">
      <alignment horizontal="right" vertical="center" shrinkToFit="1"/>
    </xf>
    <xf numFmtId="184" fontId="60" fillId="0" borderId="130" xfId="20" applyNumberFormat="1" applyFont="1" applyFill="1" applyBorder="1" applyAlignment="1">
      <alignment horizontal="right" vertical="center" shrinkToFit="1"/>
    </xf>
    <xf numFmtId="184" fontId="60" fillId="0" borderId="134" xfId="20" applyNumberFormat="1" applyFont="1" applyFill="1" applyBorder="1" applyAlignment="1">
      <alignment horizontal="right" vertical="center" shrinkToFit="1"/>
    </xf>
    <xf numFmtId="184" fontId="60" fillId="0" borderId="136" xfId="20" applyNumberFormat="1" applyFont="1" applyFill="1" applyBorder="1" applyAlignment="1">
      <alignment horizontal="right" vertical="center" shrinkToFit="1"/>
    </xf>
    <xf numFmtId="184" fontId="60" fillId="0" borderId="60" xfId="20" applyNumberFormat="1" applyFont="1" applyFill="1" applyBorder="1" applyAlignment="1">
      <alignment horizontal="right" vertical="center" shrinkToFit="1"/>
    </xf>
    <xf numFmtId="184" fontId="60" fillId="0" borderId="121" xfId="20" applyNumberFormat="1" applyFont="1" applyFill="1" applyBorder="1" applyAlignment="1">
      <alignment horizontal="right" vertical="center" shrinkToFit="1"/>
    </xf>
    <xf numFmtId="184" fontId="60" fillId="0" borderId="88" xfId="20" applyNumberFormat="1" applyFont="1" applyFill="1" applyBorder="1" applyAlignment="1">
      <alignment horizontal="right" vertical="center" shrinkToFit="1"/>
    </xf>
    <xf numFmtId="184" fontId="60" fillId="0" borderId="142" xfId="20" applyNumberFormat="1" applyFont="1" applyFill="1" applyBorder="1" applyAlignment="1">
      <alignment horizontal="right" vertical="center" shrinkToFit="1"/>
    </xf>
    <xf numFmtId="184" fontId="60" fillId="0" borderId="58" xfId="20" quotePrefix="1" applyNumberFormat="1" applyFont="1" applyFill="1" applyBorder="1" applyAlignment="1">
      <alignment horizontal="right" vertical="center" shrinkToFit="1"/>
    </xf>
    <xf numFmtId="184" fontId="60" fillId="0" borderId="72" xfId="20" quotePrefix="1" applyNumberFormat="1" applyFont="1" applyFill="1" applyBorder="1" applyAlignment="1">
      <alignment horizontal="right" vertical="center" shrinkToFit="1"/>
    </xf>
    <xf numFmtId="184" fontId="60" fillId="0" borderId="127" xfId="20" quotePrefix="1" applyNumberFormat="1" applyFont="1" applyFill="1" applyBorder="1" applyAlignment="1">
      <alignment horizontal="right" vertical="center" shrinkToFit="1"/>
    </xf>
    <xf numFmtId="184" fontId="60" fillId="0" borderId="119" xfId="20" quotePrefix="1" applyNumberFormat="1" applyFont="1" applyFill="1" applyBorder="1" applyAlignment="1">
      <alignment horizontal="right" vertical="center" shrinkToFit="1"/>
    </xf>
    <xf numFmtId="184" fontId="60" fillId="0" borderId="4" xfId="20" applyNumberFormat="1" applyFont="1" applyFill="1" applyBorder="1" applyAlignment="1">
      <alignment horizontal="right" vertical="center"/>
    </xf>
    <xf numFmtId="184" fontId="60" fillId="0" borderId="9" xfId="20" applyNumberFormat="1" applyFont="1" applyFill="1" applyBorder="1" applyAlignment="1">
      <alignment horizontal="right" vertical="center"/>
    </xf>
    <xf numFmtId="184" fontId="60" fillId="0" borderId="129" xfId="20" applyNumberFormat="1" applyFont="1" applyFill="1" applyBorder="1" applyAlignment="1">
      <alignment horizontal="right" vertical="center"/>
    </xf>
    <xf numFmtId="184" fontId="60" fillId="0" borderId="135" xfId="20" applyNumberFormat="1" applyFont="1" applyFill="1" applyBorder="1" applyAlignment="1">
      <alignment horizontal="right" vertical="center"/>
    </xf>
    <xf numFmtId="184" fontId="60" fillId="0" borderId="119" xfId="20" applyNumberFormat="1" applyFont="1" applyFill="1" applyBorder="1" applyAlignment="1">
      <alignment horizontal="right" vertical="center"/>
    </xf>
    <xf numFmtId="184" fontId="60" fillId="0" borderId="14" xfId="20" applyNumberFormat="1" applyFont="1" applyFill="1" applyBorder="1" applyAlignment="1">
      <alignment horizontal="right" vertical="center"/>
    </xf>
    <xf numFmtId="184" fontId="60" fillId="0" borderId="121" xfId="20" applyNumberFormat="1" applyFont="1" applyFill="1" applyBorder="1" applyAlignment="1">
      <alignment horizontal="right" vertical="center"/>
    </xf>
    <xf numFmtId="0" fontId="52" fillId="0" borderId="58" xfId="20" quotePrefix="1" applyNumberFormat="1" applyFont="1" applyFill="1" applyBorder="1" applyAlignment="1">
      <alignment horizontal="center" vertical="center"/>
    </xf>
    <xf numFmtId="0" fontId="52" fillId="0" borderId="62" xfId="20" quotePrefix="1" applyNumberFormat="1" applyFont="1" applyFill="1" applyBorder="1" applyAlignment="1">
      <alignment horizontal="center" vertical="center"/>
    </xf>
    <xf numFmtId="0" fontId="52" fillId="0" borderId="59" xfId="20" quotePrefix="1" applyNumberFormat="1" applyFont="1" applyFill="1" applyBorder="1" applyAlignment="1">
      <alignment horizontal="center" vertical="center"/>
    </xf>
    <xf numFmtId="0" fontId="52" fillId="0" borderId="60" xfId="20" quotePrefix="1" applyNumberFormat="1" applyFont="1" applyFill="1" applyBorder="1" applyAlignment="1">
      <alignment horizontal="center" vertical="center"/>
    </xf>
    <xf numFmtId="0" fontId="3" fillId="0" borderId="0" xfId="0" applyFont="1" applyFill="1" applyBorder="1" applyProtection="1">
      <alignment vertical="center"/>
    </xf>
    <xf numFmtId="0" fontId="4" fillId="4" borderId="54" xfId="14" applyFont="1" applyFill="1" applyBorder="1" applyAlignment="1" applyProtection="1">
      <alignment horizontal="center" vertical="center"/>
    </xf>
    <xf numFmtId="14" fontId="4" fillId="0" borderId="0" xfId="3" applyNumberFormat="1" applyFont="1" applyFill="1" applyProtection="1">
      <alignment vertical="center"/>
    </xf>
    <xf numFmtId="0" fontId="51" fillId="6" borderId="65" xfId="3" applyFont="1" applyFill="1" applyBorder="1" applyAlignment="1">
      <alignment horizontal="center" vertical="center"/>
    </xf>
    <xf numFmtId="0" fontId="52" fillId="6" borderId="143" xfId="3" applyFont="1" applyFill="1" applyBorder="1" applyAlignment="1">
      <alignment horizontal="center" vertical="center" shrinkToFit="1"/>
    </xf>
    <xf numFmtId="0" fontId="54" fillId="0" borderId="144" xfId="3" applyFont="1" applyFill="1" applyBorder="1" applyAlignment="1">
      <alignment horizontal="center" vertical="center"/>
    </xf>
    <xf numFmtId="0" fontId="50" fillId="0" borderId="145" xfId="3" applyFont="1" applyBorder="1" applyAlignment="1">
      <alignment vertical="center" shrinkToFit="1"/>
    </xf>
    <xf numFmtId="0" fontId="52" fillId="0" borderId="14" xfId="3" applyFont="1" applyBorder="1" applyAlignment="1">
      <alignment horizontal="center" vertical="center" shrinkToFit="1"/>
    </xf>
    <xf numFmtId="0" fontId="51" fillId="8" borderId="85" xfId="3" applyFont="1" applyFill="1" applyBorder="1" applyAlignment="1">
      <alignment horizontal="center" vertical="center"/>
    </xf>
    <xf numFmtId="0" fontId="55" fillId="8" borderId="60" xfId="3" applyFont="1" applyFill="1" applyBorder="1" applyAlignment="1">
      <alignment horizontal="center" vertical="center" shrinkToFit="1"/>
    </xf>
    <xf numFmtId="0" fontId="56" fillId="8" borderId="121" xfId="3" applyFont="1" applyFill="1" applyBorder="1" applyAlignment="1">
      <alignment horizontal="center" vertical="center"/>
    </xf>
    <xf numFmtId="0" fontId="51" fillId="8" borderId="41" xfId="3" applyFont="1" applyFill="1" applyBorder="1" applyAlignment="1">
      <alignment horizontal="center" vertical="center"/>
    </xf>
    <xf numFmtId="0" fontId="33" fillId="7" borderId="5" xfId="20" applyFont="1" applyFill="1" applyBorder="1" applyAlignment="1">
      <alignment horizontal="left" vertical="center" shrinkToFit="1"/>
    </xf>
    <xf numFmtId="0" fontId="33" fillId="7" borderId="10" xfId="20" applyFont="1" applyFill="1" applyBorder="1" applyAlignment="1">
      <alignment horizontal="left" vertical="center" shrinkToFit="1"/>
    </xf>
    <xf numFmtId="0" fontId="33" fillId="0" borderId="127" xfId="20" applyFont="1" applyFill="1" applyBorder="1" applyAlignment="1">
      <alignment horizontal="left" vertical="center" shrinkToFit="1"/>
    </xf>
    <xf numFmtId="0" fontId="33" fillId="0" borderId="119" xfId="20" applyFont="1" applyFill="1" applyBorder="1" applyAlignment="1">
      <alignment horizontal="left" vertical="center" shrinkToFit="1"/>
    </xf>
    <xf numFmtId="0" fontId="33" fillId="0" borderId="142" xfId="20" applyFont="1" applyFill="1" applyBorder="1" applyAlignment="1">
      <alignment horizontal="left" vertical="center" shrinkToFit="1"/>
    </xf>
    <xf numFmtId="0" fontId="33" fillId="0" borderId="4" xfId="20" applyFont="1" applyFill="1" applyBorder="1" applyAlignment="1">
      <alignment horizontal="left" vertical="center" shrinkToFit="1"/>
    </xf>
    <xf numFmtId="0" fontId="33" fillId="0" borderId="9" xfId="20" applyFont="1" applyFill="1" applyBorder="1" applyAlignment="1">
      <alignment horizontal="left" vertical="center" shrinkToFit="1"/>
    </xf>
    <xf numFmtId="0" fontId="33" fillId="0" borderId="64" xfId="20" applyFont="1" applyFill="1" applyBorder="1" applyAlignment="1">
      <alignment horizontal="left" vertical="center" shrinkToFit="1"/>
    </xf>
    <xf numFmtId="0" fontId="33" fillId="0" borderId="15" xfId="20" applyFont="1" applyFill="1" applyBorder="1" applyAlignment="1">
      <alignment horizontal="left" vertical="center" shrinkToFit="1"/>
    </xf>
    <xf numFmtId="0" fontId="33" fillId="0" borderId="121" xfId="20" applyFont="1" applyFill="1" applyBorder="1" applyAlignment="1">
      <alignment horizontal="left" vertical="center" shrinkToFit="1"/>
    </xf>
    <xf numFmtId="179" fontId="68" fillId="0" borderId="62" xfId="14" applyNumberFormat="1" applyFont="1" applyFill="1" applyBorder="1" applyProtection="1">
      <alignment vertical="center"/>
    </xf>
    <xf numFmtId="179" fontId="68" fillId="0" borderId="59" xfId="14" applyNumberFormat="1" applyFont="1" applyFill="1" applyBorder="1" applyProtection="1">
      <alignment vertical="center"/>
    </xf>
    <xf numFmtId="179" fontId="68" fillId="0" borderId="60" xfId="14" applyNumberFormat="1" applyFont="1" applyFill="1" applyBorder="1" applyProtection="1">
      <alignment vertical="center"/>
    </xf>
    <xf numFmtId="179" fontId="68" fillId="0" borderId="61" xfId="14" applyNumberFormat="1" applyFont="1" applyFill="1" applyBorder="1" applyProtection="1">
      <alignment vertical="center"/>
    </xf>
    <xf numFmtId="179" fontId="68" fillId="0" borderId="58" xfId="14" applyNumberFormat="1" applyFont="1" applyFill="1" applyBorder="1" applyProtection="1">
      <alignment vertical="center"/>
    </xf>
    <xf numFmtId="179" fontId="21" fillId="0" borderId="0" xfId="0" applyNumberFormat="1" applyFont="1" applyFill="1" applyBorder="1" applyAlignment="1" applyProtection="1">
      <alignment horizontal="right" vertical="top"/>
    </xf>
    <xf numFmtId="0" fontId="21" fillId="0" borderId="27" xfId="0" applyFont="1" applyFill="1" applyBorder="1" applyAlignment="1" applyProtection="1">
      <alignment horizontal="right" vertical="top"/>
    </xf>
    <xf numFmtId="179" fontId="21" fillId="0" borderId="0" xfId="0" applyNumberFormat="1" applyFont="1" applyFill="1" applyBorder="1" applyAlignment="1" applyProtection="1">
      <alignment vertical="center"/>
    </xf>
    <xf numFmtId="0" fontId="4" fillId="0" borderId="10" xfId="14" applyFont="1" applyFill="1" applyBorder="1" applyAlignment="1" applyProtection="1">
      <alignment vertical="center"/>
    </xf>
    <xf numFmtId="0" fontId="4" fillId="0" borderId="11" xfId="14" applyFont="1" applyFill="1" applyBorder="1" applyAlignment="1" applyProtection="1">
      <alignment vertical="center"/>
    </xf>
    <xf numFmtId="0" fontId="4" fillId="0" borderId="12" xfId="14" applyFont="1" applyFill="1" applyBorder="1" applyAlignment="1" applyProtection="1">
      <alignment vertical="center"/>
    </xf>
    <xf numFmtId="0" fontId="4" fillId="0" borderId="10" xfId="14" applyFont="1" applyFill="1" applyBorder="1" applyAlignment="1" applyProtection="1">
      <alignment vertical="center" shrinkToFit="1"/>
    </xf>
    <xf numFmtId="0" fontId="4" fillId="0" borderId="11" xfId="14" applyFont="1" applyFill="1" applyBorder="1" applyAlignment="1" applyProtection="1">
      <alignment vertical="center" shrinkToFit="1"/>
    </xf>
    <xf numFmtId="0" fontId="4" fillId="0" borderId="12" xfId="14" applyFont="1" applyFill="1" applyBorder="1" applyAlignment="1" applyProtection="1">
      <alignment vertical="center" shrinkToFit="1"/>
    </xf>
    <xf numFmtId="0" fontId="4" fillId="0" borderId="15" xfId="14" applyFont="1" applyFill="1" applyBorder="1" applyAlignment="1" applyProtection="1">
      <alignment vertical="center"/>
    </xf>
    <xf numFmtId="0" fontId="4" fillId="0" borderId="16" xfId="14" applyFont="1" applyFill="1" applyBorder="1" applyAlignment="1" applyProtection="1">
      <alignment vertical="center"/>
    </xf>
    <xf numFmtId="0" fontId="4" fillId="0" borderId="17" xfId="14" applyFont="1" applyFill="1" applyBorder="1" applyAlignment="1" applyProtection="1">
      <alignment vertical="center"/>
    </xf>
    <xf numFmtId="0" fontId="4" fillId="0" borderId="2" xfId="14" applyNumberFormat="1" applyFont="1" applyFill="1" applyBorder="1" applyAlignment="1" applyProtection="1">
      <alignment vertical="center"/>
    </xf>
    <xf numFmtId="0" fontId="4" fillId="0" borderId="22" xfId="14" applyNumberFormat="1" applyFont="1" applyFill="1" applyBorder="1" applyAlignment="1" applyProtection="1">
      <alignment vertical="center"/>
    </xf>
    <xf numFmtId="0" fontId="4" fillId="0" borderId="6" xfId="14" applyFont="1" applyFill="1" applyBorder="1" applyAlignment="1" applyProtection="1">
      <alignment vertical="center"/>
    </xf>
    <xf numFmtId="0" fontId="4" fillId="0" borderId="7" xfId="14" applyFont="1" applyFill="1" applyBorder="1" applyAlignment="1" applyProtection="1">
      <alignment vertical="center"/>
    </xf>
    <xf numFmtId="0" fontId="4" fillId="3" borderId="10" xfId="14" applyNumberFormat="1" applyFont="1" applyFill="1" applyBorder="1" applyAlignment="1" applyProtection="1">
      <alignment horizontal="center" vertical="center"/>
      <protection locked="0"/>
    </xf>
    <xf numFmtId="0" fontId="4" fillId="3" borderId="12" xfId="14" applyNumberFormat="1" applyFont="1" applyFill="1" applyBorder="1" applyAlignment="1" applyProtection="1">
      <alignment horizontal="center" vertical="center"/>
      <protection locked="0"/>
    </xf>
    <xf numFmtId="0" fontId="4" fillId="3" borderId="15" xfId="14" applyNumberFormat="1" applyFont="1" applyFill="1" applyBorder="1" applyAlignment="1" applyProtection="1">
      <alignment horizontal="center" vertical="center"/>
      <protection locked="0"/>
    </xf>
    <xf numFmtId="0" fontId="4" fillId="3" borderId="17" xfId="14" applyNumberFormat="1" applyFont="1" applyFill="1" applyBorder="1" applyAlignment="1" applyProtection="1">
      <alignment horizontal="center" vertical="center"/>
      <protection locked="0"/>
    </xf>
    <xf numFmtId="0" fontId="4" fillId="3" borderId="5" xfId="14" applyNumberFormat="1" applyFont="1" applyFill="1" applyBorder="1" applyAlignment="1" applyProtection="1">
      <alignment horizontal="center" vertical="center" shrinkToFit="1"/>
      <protection locked="0"/>
    </xf>
    <xf numFmtId="0" fontId="4" fillId="3" borderId="7" xfId="14" applyNumberFormat="1" applyFont="1" applyFill="1" applyBorder="1" applyAlignment="1" applyProtection="1">
      <alignment horizontal="center" vertical="center" shrinkToFit="1"/>
      <protection locked="0"/>
    </xf>
    <xf numFmtId="0" fontId="4" fillId="3" borderId="10" xfId="14" applyNumberFormat="1" applyFont="1" applyFill="1" applyBorder="1" applyAlignment="1" applyProtection="1">
      <alignment horizontal="center" vertical="center" shrinkToFit="1"/>
      <protection locked="0"/>
    </xf>
    <xf numFmtId="0" fontId="4" fillId="3" borderId="12" xfId="14" applyNumberFormat="1"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0" xfId="3" applyNumberFormat="1" applyFont="1" applyFill="1" applyProtection="1">
      <alignment vertical="center"/>
    </xf>
    <xf numFmtId="0" fontId="17" fillId="0" borderId="0" xfId="3" applyNumberFormat="1" applyFont="1" applyFill="1" applyProtection="1">
      <alignment vertical="center"/>
    </xf>
    <xf numFmtId="0" fontId="21" fillId="0" borderId="0" xfId="0" applyFont="1" applyFill="1" applyBorder="1" applyAlignment="1" applyProtection="1">
      <alignment vertical="top"/>
    </xf>
    <xf numFmtId="0" fontId="4" fillId="0" borderId="5" xfId="14" applyFont="1" applyFill="1" applyBorder="1" applyAlignment="1" applyProtection="1">
      <alignment vertical="center"/>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vertical="top" wrapText="1"/>
    </xf>
    <xf numFmtId="0" fontId="66" fillId="0" borderId="27" xfId="0" applyFont="1" applyFill="1" applyBorder="1" applyAlignment="1" applyProtection="1">
      <alignment vertical="top" wrapText="1"/>
    </xf>
    <xf numFmtId="0" fontId="4" fillId="0" borderId="31" xfId="14" applyFont="1" applyFill="1" applyBorder="1" applyAlignment="1" applyProtection="1">
      <alignment vertical="center" shrinkToFit="1"/>
    </xf>
    <xf numFmtId="0" fontId="4" fillId="0" borderId="32" xfId="14" applyFont="1" applyFill="1" applyBorder="1" applyAlignment="1" applyProtection="1">
      <alignment vertical="center" shrinkToFit="1"/>
    </xf>
    <xf numFmtId="0" fontId="4" fillId="0" borderId="52" xfId="14" applyFont="1" applyFill="1" applyBorder="1" applyAlignment="1" applyProtection="1">
      <alignment vertical="center" shrinkToFit="1"/>
    </xf>
    <xf numFmtId="0" fontId="4" fillId="0" borderId="25" xfId="14" applyFont="1" applyFill="1" applyBorder="1" applyAlignment="1" applyProtection="1">
      <alignment vertical="center" shrinkToFit="1"/>
    </xf>
    <xf numFmtId="0" fontId="4" fillId="0" borderId="32" xfId="14" applyNumberFormat="1" applyFont="1" applyFill="1" applyBorder="1" applyAlignment="1" applyProtection="1">
      <alignment vertical="center" textRotation="255"/>
    </xf>
    <xf numFmtId="0" fontId="4" fillId="0" borderId="37" xfId="14" applyNumberFormat="1" applyFont="1" applyFill="1" applyBorder="1" applyAlignment="1" applyProtection="1">
      <alignment vertical="center" textRotation="255"/>
    </xf>
    <xf numFmtId="0" fontId="4" fillId="0" borderId="28" xfId="14" applyNumberFormat="1" applyFont="1" applyFill="1" applyBorder="1" applyAlignment="1" applyProtection="1">
      <alignment vertical="center" textRotation="255"/>
    </xf>
    <xf numFmtId="0" fontId="4" fillId="0" borderId="32" xfId="14" applyFont="1" applyFill="1" applyBorder="1" applyAlignment="1" applyProtection="1">
      <alignment vertical="center" textRotation="255"/>
    </xf>
    <xf numFmtId="0" fontId="4" fillId="0" borderId="37" xfId="14" applyFont="1" applyFill="1" applyBorder="1" applyAlignment="1" applyProtection="1">
      <alignment vertical="center" textRotation="255"/>
    </xf>
    <xf numFmtId="0" fontId="4" fillId="0" borderId="28" xfId="14" applyFont="1" applyFill="1" applyBorder="1" applyAlignment="1" applyProtection="1">
      <alignment vertical="center" textRotation="255"/>
    </xf>
    <xf numFmtId="0" fontId="4" fillId="0" borderId="36" xfId="3" applyFont="1" applyFill="1" applyBorder="1" applyProtection="1">
      <alignment vertical="center"/>
    </xf>
    <xf numFmtId="181" fontId="4" fillId="0" borderId="0" xfId="3" applyNumberFormat="1" applyFont="1" applyFill="1" applyBorder="1" applyProtection="1">
      <alignment vertical="center"/>
    </xf>
    <xf numFmtId="0" fontId="4" fillId="0" borderId="0" xfId="3" applyFont="1" applyFill="1" applyBorder="1" applyProtection="1">
      <alignment vertical="center"/>
    </xf>
    <xf numFmtId="0" fontId="24" fillId="0" borderId="5" xfId="14" applyFont="1" applyFill="1" applyBorder="1" applyAlignment="1" applyProtection="1">
      <alignment vertical="center"/>
    </xf>
    <xf numFmtId="0" fontId="24" fillId="0" borderId="6" xfId="14" applyFont="1" applyFill="1" applyBorder="1" applyAlignment="1" applyProtection="1">
      <alignment vertical="center"/>
    </xf>
    <xf numFmtId="0" fontId="24" fillId="0" borderId="7" xfId="14" applyFont="1" applyFill="1" applyBorder="1" applyAlignment="1" applyProtection="1">
      <alignment vertical="center"/>
    </xf>
    <xf numFmtId="181" fontId="4" fillId="3" borderId="10" xfId="14" applyNumberFormat="1" applyFont="1" applyFill="1" applyBorder="1" applyAlignment="1" applyProtection="1">
      <alignment horizontal="right" vertical="center"/>
      <protection locked="0"/>
    </xf>
    <xf numFmtId="181" fontId="4" fillId="3" borderId="12" xfId="14" applyNumberFormat="1" applyFont="1" applyFill="1" applyBorder="1" applyAlignment="1" applyProtection="1">
      <alignment horizontal="right" vertical="center"/>
      <protection locked="0"/>
    </xf>
    <xf numFmtId="181" fontId="4" fillId="3" borderId="15" xfId="14" applyNumberFormat="1" applyFont="1" applyFill="1" applyBorder="1" applyAlignment="1" applyProtection="1">
      <alignment horizontal="right" vertical="center"/>
      <protection locked="0"/>
    </xf>
    <xf numFmtId="181" fontId="4" fillId="3" borderId="17" xfId="14" applyNumberFormat="1" applyFont="1" applyFill="1" applyBorder="1" applyAlignment="1" applyProtection="1">
      <alignment horizontal="right" vertical="center"/>
      <protection locked="0"/>
    </xf>
    <xf numFmtId="181" fontId="4" fillId="3" borderId="1" xfId="14" applyNumberFormat="1" applyFont="1" applyFill="1" applyBorder="1" applyAlignment="1" applyProtection="1">
      <alignment horizontal="right" vertical="center"/>
      <protection locked="0"/>
    </xf>
    <xf numFmtId="181" fontId="4" fillId="3" borderId="22" xfId="14" applyNumberFormat="1" applyFont="1" applyFill="1" applyBorder="1" applyAlignment="1" applyProtection="1">
      <alignment horizontal="right" vertical="center"/>
      <protection locked="0"/>
    </xf>
    <xf numFmtId="181" fontId="4" fillId="3" borderId="5" xfId="14" applyNumberFormat="1" applyFont="1" applyFill="1" applyBorder="1" applyAlignment="1" applyProtection="1">
      <alignment horizontal="right" vertical="center"/>
      <protection locked="0"/>
    </xf>
    <xf numFmtId="181" fontId="4" fillId="3" borderId="7" xfId="14" applyNumberFormat="1" applyFont="1" applyFill="1" applyBorder="1" applyAlignment="1" applyProtection="1">
      <alignment horizontal="right" vertical="center"/>
      <protection locked="0"/>
    </xf>
    <xf numFmtId="0" fontId="4" fillId="0" borderId="1" xfId="14" applyFont="1" applyFill="1" applyBorder="1" applyAlignment="1" applyProtection="1">
      <alignment horizontal="center" vertical="center"/>
    </xf>
    <xf numFmtId="0" fontId="4" fillId="0" borderId="2" xfId="14" applyFont="1" applyFill="1" applyBorder="1" applyAlignment="1" applyProtection="1">
      <alignment horizontal="center" vertical="center"/>
    </xf>
    <xf numFmtId="0" fontId="4" fillId="0" borderId="22" xfId="14" applyFont="1" applyFill="1" applyBorder="1" applyAlignment="1" applyProtection="1">
      <alignment horizontal="center" vertical="center"/>
    </xf>
    <xf numFmtId="0" fontId="4" fillId="0" borderId="24" xfId="14" applyFont="1" applyFill="1" applyBorder="1" applyAlignment="1" applyProtection="1">
      <alignment horizontal="center" vertical="center" wrapText="1"/>
    </xf>
    <xf numFmtId="0" fontId="4" fillId="0" borderId="40" xfId="14" applyFont="1" applyFill="1" applyBorder="1" applyAlignment="1" applyProtection="1">
      <alignment horizontal="center" vertical="center" wrapText="1"/>
    </xf>
    <xf numFmtId="0" fontId="4" fillId="0" borderId="23" xfId="14" applyFont="1" applyFill="1" applyBorder="1" applyAlignment="1" applyProtection="1">
      <alignment horizontal="center" vertical="center" wrapText="1"/>
    </xf>
    <xf numFmtId="0" fontId="4" fillId="0" borderId="64" xfId="14" applyFont="1" applyFill="1" applyBorder="1" applyAlignment="1" applyProtection="1">
      <alignment horizontal="center" vertical="center" wrapText="1"/>
    </xf>
    <xf numFmtId="0" fontId="4" fillId="0" borderId="15" xfId="14" applyFont="1" applyFill="1" applyBorder="1" applyAlignment="1" applyProtection="1">
      <alignment vertical="center" shrinkToFit="1"/>
    </xf>
    <xf numFmtId="0" fontId="4" fillId="0" borderId="17" xfId="14" applyFont="1" applyFill="1" applyBorder="1" applyAlignment="1" applyProtection="1">
      <alignment vertical="center" shrinkToFit="1"/>
    </xf>
    <xf numFmtId="0" fontId="4" fillId="0" borderId="2" xfId="14" applyFont="1" applyFill="1" applyBorder="1" applyAlignment="1" applyProtection="1">
      <alignment vertical="center"/>
    </xf>
    <xf numFmtId="0" fontId="4" fillId="0" borderId="22" xfId="14" applyFont="1" applyFill="1" applyBorder="1" applyAlignment="1" applyProtection="1">
      <alignment vertical="center"/>
    </xf>
    <xf numFmtId="0" fontId="4" fillId="0" borderId="5" xfId="14" applyFont="1" applyFill="1" applyBorder="1" applyAlignment="1" applyProtection="1">
      <alignment vertical="center" shrinkToFit="1"/>
    </xf>
    <xf numFmtId="0" fontId="4" fillId="0" borderId="7" xfId="14" applyFont="1" applyFill="1" applyBorder="1" applyAlignment="1" applyProtection="1">
      <alignment vertical="center" shrinkToFit="1"/>
    </xf>
    <xf numFmtId="0" fontId="4" fillId="0" borderId="64" xfId="14" applyFont="1" applyFill="1" applyBorder="1" applyAlignment="1" applyProtection="1">
      <alignment horizontal="center" vertical="center" shrinkToFit="1"/>
    </xf>
    <xf numFmtId="0" fontId="4" fillId="0" borderId="23" xfId="14" applyFont="1" applyFill="1" applyBorder="1" applyAlignment="1" applyProtection="1">
      <alignment horizontal="center" vertical="center" shrinkToFit="1"/>
    </xf>
    <xf numFmtId="0" fontId="3" fillId="0" borderId="34" xfId="0" applyFont="1" applyFill="1" applyBorder="1" applyAlignment="1" applyProtection="1">
      <alignment vertical="center" wrapText="1"/>
    </xf>
    <xf numFmtId="0" fontId="3" fillId="0" borderId="26" xfId="0" applyFont="1" applyFill="1" applyBorder="1" applyAlignment="1" applyProtection="1">
      <alignment vertical="center" wrapText="1"/>
    </xf>
    <xf numFmtId="176" fontId="3" fillId="3"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xf>
    <xf numFmtId="0" fontId="3" fillId="0" borderId="0" xfId="0" applyFont="1" applyFill="1" applyBorder="1" applyProtection="1">
      <alignment vertical="center"/>
    </xf>
    <xf numFmtId="0" fontId="4" fillId="4" borderId="10" xfId="14" applyFont="1" applyFill="1" applyBorder="1" applyAlignment="1" applyProtection="1">
      <alignment horizontal="right" vertical="center" shrinkToFit="1"/>
    </xf>
    <xf numFmtId="0" fontId="4" fillId="4" borderId="12" xfId="14" applyFont="1" applyFill="1" applyBorder="1" applyAlignment="1" applyProtection="1">
      <alignment horizontal="right" vertical="center" shrinkToFit="1"/>
    </xf>
    <xf numFmtId="177" fontId="4" fillId="3" borderId="10" xfId="14" applyNumberFormat="1" applyFont="1" applyFill="1" applyBorder="1" applyAlignment="1" applyProtection="1">
      <alignment horizontal="right" vertical="center" shrinkToFit="1"/>
      <protection locked="0"/>
    </xf>
    <xf numFmtId="0" fontId="4" fillId="3" borderId="12" xfId="14" applyFont="1" applyFill="1" applyBorder="1" applyAlignment="1" applyProtection="1">
      <alignment horizontal="right" vertical="center" shrinkToFit="1"/>
      <protection locked="0"/>
    </xf>
    <xf numFmtId="0" fontId="4" fillId="0" borderId="24" xfId="14" applyFont="1" applyFill="1" applyBorder="1" applyAlignment="1" applyProtection="1">
      <alignment horizontal="center" vertical="center" textRotation="255"/>
    </xf>
    <xf numFmtId="0" fontId="4" fillId="0" borderId="40" xfId="14" applyFont="1" applyFill="1" applyBorder="1" applyAlignment="1" applyProtection="1">
      <alignment horizontal="center" vertical="center" textRotation="255"/>
    </xf>
    <xf numFmtId="0" fontId="4" fillId="0" borderId="55" xfId="14" applyFont="1" applyFill="1" applyBorder="1" applyAlignment="1" applyProtection="1">
      <alignment horizontal="center" vertical="center" textRotation="255"/>
    </xf>
    <xf numFmtId="0" fontId="4" fillId="0" borderId="6" xfId="14" applyFont="1" applyFill="1" applyBorder="1" applyAlignment="1" applyProtection="1">
      <alignment vertical="center" shrinkToFit="1"/>
    </xf>
    <xf numFmtId="177" fontId="4" fillId="4" borderId="5" xfId="14" applyNumberFormat="1" applyFont="1" applyFill="1" applyBorder="1" applyAlignment="1" applyProtection="1">
      <alignment horizontal="right" vertical="center" shrinkToFit="1"/>
    </xf>
    <xf numFmtId="0" fontId="4" fillId="4" borderId="7" xfId="14" applyFont="1" applyFill="1" applyBorder="1" applyAlignment="1" applyProtection="1">
      <alignment horizontal="right" vertical="center" shrinkToFit="1"/>
    </xf>
    <xf numFmtId="0" fontId="4" fillId="0" borderId="34" xfId="14" applyFont="1" applyFill="1" applyBorder="1" applyAlignment="1" applyProtection="1">
      <alignment horizontal="center" vertical="center" wrapText="1"/>
    </xf>
    <xf numFmtId="0" fontId="4" fillId="0" borderId="41" xfId="14" applyFont="1" applyFill="1" applyBorder="1" applyAlignment="1" applyProtection="1">
      <alignment horizontal="center" vertical="center"/>
    </xf>
    <xf numFmtId="0" fontId="4" fillId="0" borderId="26" xfId="14" applyFont="1" applyFill="1" applyBorder="1" applyAlignment="1" applyProtection="1">
      <alignment horizontal="center" vertical="center"/>
    </xf>
    <xf numFmtId="177" fontId="4" fillId="3" borderId="5" xfId="14" applyNumberFormat="1" applyFont="1" applyFill="1" applyBorder="1" applyAlignment="1" applyProtection="1">
      <alignment horizontal="right" vertical="center" shrinkToFit="1"/>
      <protection locked="0"/>
    </xf>
    <xf numFmtId="0" fontId="4" fillId="3" borderId="7" xfId="14" applyFont="1" applyFill="1" applyBorder="1" applyAlignment="1" applyProtection="1">
      <alignment horizontal="right" vertical="center" shrinkToFit="1"/>
      <protection locked="0"/>
    </xf>
    <xf numFmtId="0" fontId="4" fillId="0" borderId="16" xfId="14" applyFont="1" applyFill="1" applyBorder="1" applyAlignment="1" applyProtection="1">
      <alignment vertical="center" shrinkToFit="1"/>
    </xf>
    <xf numFmtId="0" fontId="4" fillId="4" borderId="15" xfId="14" applyFont="1" applyFill="1" applyBorder="1" applyAlignment="1" applyProtection="1">
      <alignment horizontal="right" vertical="center" shrinkToFit="1"/>
    </xf>
    <xf numFmtId="0" fontId="4" fillId="4" borderId="17" xfId="14" applyFont="1" applyFill="1" applyBorder="1" applyAlignment="1" applyProtection="1">
      <alignment horizontal="right" vertical="center" shrinkToFit="1"/>
    </xf>
    <xf numFmtId="181" fontId="4" fillId="0" borderId="34" xfId="2" applyNumberFormat="1" applyFont="1" applyFill="1" applyBorder="1" applyAlignment="1" applyProtection="1">
      <alignment horizontal="right" vertical="center"/>
    </xf>
    <xf numFmtId="181" fontId="4" fillId="0" borderId="31" xfId="2" applyNumberFormat="1" applyFont="1" applyFill="1" applyBorder="1" applyAlignment="1" applyProtection="1">
      <alignment horizontal="right" vertical="center"/>
    </xf>
    <xf numFmtId="181" fontId="4" fillId="0" borderId="32" xfId="2" applyNumberFormat="1" applyFont="1" applyFill="1" applyBorder="1" applyAlignment="1" applyProtection="1">
      <alignment horizontal="right" vertical="center"/>
    </xf>
    <xf numFmtId="181" fontId="4" fillId="0" borderId="41" xfId="2" applyNumberFormat="1" applyFont="1" applyFill="1" applyBorder="1" applyAlignment="1" applyProtection="1">
      <alignment horizontal="right" vertical="center"/>
    </xf>
    <xf numFmtId="181" fontId="4" fillId="0" borderId="0" xfId="2" applyNumberFormat="1" applyFont="1" applyFill="1" applyBorder="1" applyAlignment="1" applyProtection="1">
      <alignment horizontal="right" vertical="center"/>
    </xf>
    <xf numFmtId="181" fontId="4" fillId="0" borderId="37" xfId="2" applyNumberFormat="1" applyFont="1" applyFill="1" applyBorder="1" applyAlignment="1" applyProtection="1">
      <alignment horizontal="right" vertical="center"/>
    </xf>
    <xf numFmtId="181" fontId="4" fillId="0" borderId="26" xfId="2" applyNumberFormat="1" applyFont="1" applyFill="1" applyBorder="1" applyAlignment="1" applyProtection="1">
      <alignment horizontal="right" vertical="center"/>
    </xf>
    <xf numFmtId="181" fontId="4" fillId="0" borderId="27" xfId="2" applyNumberFormat="1" applyFont="1" applyFill="1" applyBorder="1" applyAlignment="1" applyProtection="1">
      <alignment horizontal="right" vertical="center"/>
    </xf>
    <xf numFmtId="181" fontId="4" fillId="0" borderId="28" xfId="2" applyNumberFormat="1" applyFont="1" applyFill="1" applyBorder="1" applyAlignment="1" applyProtection="1">
      <alignment horizontal="right" vertical="center"/>
    </xf>
    <xf numFmtId="49" fontId="4" fillId="3" borderId="34" xfId="14" applyNumberFormat="1" applyFont="1" applyFill="1" applyBorder="1" applyAlignment="1" applyProtection="1">
      <alignment horizontal="center" vertical="center"/>
      <protection locked="0"/>
    </xf>
    <xf numFmtId="0" fontId="4" fillId="3" borderId="32" xfId="14" applyFont="1" applyFill="1" applyBorder="1" applyAlignment="1" applyProtection="1">
      <alignment horizontal="center" vertical="center"/>
      <protection locked="0"/>
    </xf>
    <xf numFmtId="49" fontId="4" fillId="3" borderId="41" xfId="14" applyNumberFormat="1" applyFont="1" applyFill="1" applyBorder="1" applyAlignment="1" applyProtection="1">
      <alignment horizontal="center" vertical="center"/>
      <protection locked="0"/>
    </xf>
    <xf numFmtId="0" fontId="4" fillId="3" borderId="37" xfId="14" applyFont="1" applyFill="1" applyBorder="1" applyAlignment="1" applyProtection="1">
      <alignment horizontal="center" vertical="center"/>
      <protection locked="0"/>
    </xf>
    <xf numFmtId="0" fontId="4" fillId="3" borderId="41" xfId="14" applyFont="1" applyFill="1" applyBorder="1" applyAlignment="1" applyProtection="1">
      <alignment horizontal="center" vertical="center"/>
      <protection locked="0"/>
    </xf>
    <xf numFmtId="0" fontId="4" fillId="3" borderId="26" xfId="14" applyFont="1" applyFill="1" applyBorder="1" applyAlignment="1" applyProtection="1">
      <alignment horizontal="center" vertical="center"/>
      <protection locked="0"/>
    </xf>
    <xf numFmtId="0" fontId="4" fillId="3" borderId="28" xfId="14" applyFont="1" applyFill="1" applyBorder="1" applyAlignment="1" applyProtection="1">
      <alignment horizontal="center" vertical="center"/>
      <protection locked="0"/>
    </xf>
    <xf numFmtId="177" fontId="4" fillId="3" borderId="15" xfId="14" applyNumberFormat="1" applyFont="1" applyFill="1" applyBorder="1" applyAlignment="1" applyProtection="1">
      <alignment horizontal="right" vertical="center" shrinkToFit="1"/>
      <protection locked="0"/>
    </xf>
    <xf numFmtId="0" fontId="4" fillId="3" borderId="17" xfId="14" applyFont="1" applyFill="1" applyBorder="1" applyAlignment="1" applyProtection="1">
      <alignment horizontal="right" vertical="center" shrinkToFit="1"/>
      <protection locked="0"/>
    </xf>
    <xf numFmtId="0" fontId="4" fillId="3" borderId="15" xfId="14" applyNumberFormat="1" applyFont="1" applyFill="1" applyBorder="1" applyAlignment="1" applyProtection="1">
      <alignment horizontal="center" vertical="center" shrinkToFit="1"/>
      <protection locked="0"/>
    </xf>
    <xf numFmtId="0" fontId="4" fillId="3" borderId="17" xfId="14" applyNumberFormat="1" applyFont="1" applyFill="1" applyBorder="1" applyAlignment="1" applyProtection="1">
      <alignment horizontal="center" vertical="center" shrinkToFit="1"/>
      <protection locked="0"/>
    </xf>
    <xf numFmtId="181" fontId="4" fillId="4" borderId="41" xfId="2" applyNumberFormat="1" applyFont="1" applyFill="1" applyBorder="1" applyAlignment="1" applyProtection="1">
      <alignment horizontal="right" vertical="center"/>
    </xf>
    <xf numFmtId="181" fontId="4" fillId="4" borderId="0" xfId="2" applyNumberFormat="1" applyFont="1" applyFill="1" applyBorder="1" applyAlignment="1" applyProtection="1">
      <alignment horizontal="right" vertical="center"/>
    </xf>
    <xf numFmtId="181" fontId="4" fillId="4" borderId="37" xfId="2" applyNumberFormat="1" applyFont="1" applyFill="1" applyBorder="1" applyAlignment="1" applyProtection="1">
      <alignment horizontal="right" vertical="center"/>
    </xf>
    <xf numFmtId="181" fontId="4" fillId="4" borderId="26" xfId="2" applyNumberFormat="1" applyFont="1" applyFill="1" applyBorder="1" applyAlignment="1" applyProtection="1">
      <alignment horizontal="right" vertical="center"/>
    </xf>
    <xf numFmtId="181" fontId="4" fillId="4" borderId="27" xfId="2" applyNumberFormat="1" applyFont="1" applyFill="1" applyBorder="1" applyAlignment="1" applyProtection="1">
      <alignment horizontal="right" vertical="center"/>
    </xf>
    <xf numFmtId="181" fontId="4" fillId="4" borderId="28" xfId="2" applyNumberFormat="1" applyFont="1" applyFill="1" applyBorder="1" applyAlignment="1" applyProtection="1">
      <alignment horizontal="right" vertical="center"/>
    </xf>
    <xf numFmtId="0" fontId="4" fillId="4" borderId="0" xfId="14" applyFont="1" applyFill="1" applyBorder="1" applyAlignment="1" applyProtection="1">
      <alignment horizontal="center" vertical="center"/>
    </xf>
    <xf numFmtId="49" fontId="4" fillId="4" borderId="27" xfId="14" applyNumberFormat="1" applyFont="1" applyFill="1" applyBorder="1" applyAlignment="1" applyProtection="1">
      <alignment horizontal="center" vertical="center"/>
    </xf>
    <xf numFmtId="0" fontId="4" fillId="4" borderId="27" xfId="14" applyFont="1" applyFill="1" applyBorder="1" applyAlignment="1" applyProtection="1">
      <alignment horizontal="center" vertical="center"/>
    </xf>
    <xf numFmtId="181" fontId="17" fillId="4" borderId="41" xfId="0" applyNumberFormat="1" applyFont="1" applyFill="1" applyBorder="1" applyAlignment="1" applyProtection="1">
      <alignment horizontal="center" vertical="top"/>
    </xf>
    <xf numFmtId="181" fontId="17" fillId="4" borderId="0" xfId="0" applyNumberFormat="1" applyFont="1" applyFill="1" applyBorder="1" applyAlignment="1" applyProtection="1">
      <alignment horizontal="center" vertical="top"/>
    </xf>
    <xf numFmtId="181" fontId="17" fillId="4" borderId="39" xfId="0" applyNumberFormat="1" applyFont="1" applyFill="1" applyBorder="1" applyAlignment="1" applyProtection="1">
      <alignment horizontal="center" vertical="top"/>
    </xf>
    <xf numFmtId="176" fontId="17" fillId="4" borderId="26" xfId="0" applyNumberFormat="1" applyFont="1" applyFill="1" applyBorder="1" applyAlignment="1" applyProtection="1">
      <alignment horizontal="center" vertical="top"/>
    </xf>
    <xf numFmtId="181" fontId="17" fillId="4" borderId="27" xfId="0" applyNumberFormat="1" applyFont="1" applyFill="1" applyBorder="1" applyAlignment="1" applyProtection="1">
      <alignment horizontal="center" vertical="top"/>
    </xf>
    <xf numFmtId="181" fontId="17" fillId="4" borderId="29" xfId="0" applyNumberFormat="1" applyFont="1" applyFill="1" applyBorder="1" applyAlignment="1" applyProtection="1">
      <alignment horizontal="center" vertical="top"/>
    </xf>
    <xf numFmtId="176" fontId="3" fillId="3" borderId="34" xfId="0" applyNumberFormat="1" applyFont="1" applyFill="1" applyBorder="1" applyAlignment="1" applyProtection="1">
      <alignment horizontal="center" vertical="center"/>
      <protection locked="0"/>
    </xf>
    <xf numFmtId="181" fontId="3" fillId="3" borderId="31" xfId="0" applyNumberFormat="1" applyFont="1" applyFill="1" applyBorder="1" applyAlignment="1" applyProtection="1">
      <alignment horizontal="center" vertical="center"/>
      <protection locked="0"/>
    </xf>
    <xf numFmtId="181" fontId="3" fillId="3" borderId="35" xfId="0" applyNumberFormat="1" applyFont="1" applyFill="1" applyBorder="1" applyAlignment="1" applyProtection="1">
      <alignment horizontal="center" vertical="center"/>
      <protection locked="0"/>
    </xf>
    <xf numFmtId="176" fontId="3" fillId="3" borderId="41" xfId="0" applyNumberFormat="1" applyFont="1" applyFill="1" applyBorder="1" applyAlignment="1" applyProtection="1">
      <alignment horizontal="center" vertical="center"/>
      <protection locked="0"/>
    </xf>
    <xf numFmtId="181" fontId="3" fillId="3" borderId="0" xfId="0" applyNumberFormat="1" applyFont="1" applyFill="1" applyBorder="1" applyAlignment="1" applyProtection="1">
      <alignment horizontal="center" vertical="center"/>
      <protection locked="0"/>
    </xf>
    <xf numFmtId="181" fontId="3" fillId="3" borderId="39" xfId="0" applyNumberFormat="1" applyFont="1" applyFill="1" applyBorder="1" applyAlignment="1" applyProtection="1">
      <alignment horizontal="center" vertical="center"/>
      <protection locked="0"/>
    </xf>
    <xf numFmtId="181" fontId="3" fillId="3" borderId="41" xfId="0" applyNumberFormat="1" applyFont="1" applyFill="1" applyBorder="1" applyAlignment="1" applyProtection="1">
      <alignment horizontal="center" vertical="center"/>
      <protection locked="0"/>
    </xf>
    <xf numFmtId="181" fontId="3" fillId="3" borderId="26" xfId="0" applyNumberFormat="1" applyFont="1" applyFill="1" applyBorder="1" applyAlignment="1" applyProtection="1">
      <alignment horizontal="center" vertical="center"/>
      <protection locked="0"/>
    </xf>
    <xf numFmtId="181" fontId="3" fillId="3" borderId="27" xfId="0" applyNumberFormat="1" applyFont="1" applyFill="1" applyBorder="1" applyAlignment="1" applyProtection="1">
      <alignment horizontal="center" vertical="center"/>
      <protection locked="0"/>
    </xf>
    <xf numFmtId="181" fontId="3" fillId="3" borderId="29" xfId="0" applyNumberFormat="1" applyFont="1" applyFill="1" applyBorder="1" applyAlignment="1" applyProtection="1">
      <alignment horizontal="center" vertical="center"/>
      <protection locked="0"/>
    </xf>
    <xf numFmtId="0" fontId="4" fillId="4" borderId="10" xfId="14" applyFont="1" applyFill="1" applyBorder="1" applyAlignment="1" applyProtection="1">
      <alignment horizontal="right" vertical="center"/>
    </xf>
    <xf numFmtId="0" fontId="4" fillId="4" borderId="12" xfId="14" applyFont="1" applyFill="1" applyBorder="1" applyAlignment="1" applyProtection="1">
      <alignment horizontal="right" vertical="center"/>
    </xf>
    <xf numFmtId="177" fontId="4" fillId="4" borderId="15" xfId="14" applyNumberFormat="1" applyFont="1" applyFill="1" applyBorder="1" applyAlignment="1" applyProtection="1">
      <alignment horizontal="right" vertical="center"/>
    </xf>
    <xf numFmtId="0" fontId="4" fillId="4" borderId="17" xfId="14" applyFont="1" applyFill="1" applyBorder="1" applyAlignment="1" applyProtection="1">
      <alignment horizontal="right" vertical="center"/>
    </xf>
    <xf numFmtId="181" fontId="4" fillId="0" borderId="34" xfId="2" applyNumberFormat="1" applyFont="1" applyFill="1" applyBorder="1" applyAlignment="1" applyProtection="1">
      <alignment horizontal="center" vertical="center"/>
    </xf>
    <xf numFmtId="181" fontId="4" fillId="0" borderId="31" xfId="2" applyNumberFormat="1" applyFont="1" applyFill="1" applyBorder="1" applyAlignment="1" applyProtection="1">
      <alignment horizontal="center" vertical="center"/>
    </xf>
    <xf numFmtId="181" fontId="4" fillId="0" borderId="32" xfId="2" applyNumberFormat="1" applyFont="1" applyFill="1" applyBorder="1" applyAlignment="1" applyProtection="1">
      <alignment horizontal="center" vertical="center"/>
    </xf>
    <xf numFmtId="181" fontId="4" fillId="0" borderId="41" xfId="2" applyNumberFormat="1" applyFont="1" applyFill="1" applyBorder="1" applyAlignment="1" applyProtection="1">
      <alignment horizontal="center" vertical="center"/>
    </xf>
    <xf numFmtId="181" fontId="4" fillId="0" borderId="0" xfId="2" applyNumberFormat="1" applyFont="1" applyFill="1" applyBorder="1" applyAlignment="1" applyProtection="1">
      <alignment horizontal="center" vertical="center"/>
    </xf>
    <xf numFmtId="181" fontId="4" fillId="0" borderId="37" xfId="2" applyNumberFormat="1" applyFont="1" applyFill="1" applyBorder="1" applyAlignment="1" applyProtection="1">
      <alignment horizontal="center" vertical="center"/>
    </xf>
    <xf numFmtId="181" fontId="4" fillId="0" borderId="26" xfId="2" applyNumberFormat="1" applyFont="1" applyFill="1" applyBorder="1" applyAlignment="1" applyProtection="1">
      <alignment horizontal="center" vertical="center"/>
    </xf>
    <xf numFmtId="181" fontId="4" fillId="0" borderId="27" xfId="2" applyNumberFormat="1" applyFont="1" applyFill="1" applyBorder="1" applyAlignment="1" applyProtection="1">
      <alignment horizontal="center" vertical="center"/>
    </xf>
    <xf numFmtId="181" fontId="4" fillId="0" borderId="28" xfId="2" applyNumberFormat="1" applyFont="1" applyFill="1" applyBorder="1" applyAlignment="1" applyProtection="1">
      <alignment horizontal="center" vertical="center"/>
    </xf>
    <xf numFmtId="49" fontId="4" fillId="3" borderId="26" xfId="14" applyNumberFormat="1" applyFont="1" applyFill="1" applyBorder="1" applyAlignment="1" applyProtection="1">
      <alignment horizontal="center" vertical="center"/>
      <protection locked="0"/>
    </xf>
    <xf numFmtId="38" fontId="7" fillId="4" borderId="5" xfId="9" applyFont="1" applyFill="1" applyBorder="1" applyAlignment="1" applyProtection="1">
      <alignment horizontal="right" vertical="center"/>
    </xf>
    <xf numFmtId="38" fontId="7" fillId="4" borderId="7" xfId="9" applyFont="1" applyFill="1" applyBorder="1" applyAlignment="1" applyProtection="1">
      <alignment horizontal="right" vertical="center"/>
    </xf>
    <xf numFmtId="176" fontId="3" fillId="3" borderId="31" xfId="0" applyNumberFormat="1" applyFont="1" applyFill="1" applyBorder="1" applyAlignment="1" applyProtection="1">
      <alignment horizontal="center" vertical="center"/>
      <protection locked="0"/>
    </xf>
    <xf numFmtId="176" fontId="3" fillId="3" borderId="35" xfId="0" applyNumberFormat="1" applyFont="1" applyFill="1" applyBorder="1" applyAlignment="1" applyProtection="1">
      <alignment horizontal="center" vertical="center"/>
      <protection locked="0"/>
    </xf>
    <xf numFmtId="176" fontId="3" fillId="3" borderId="0" xfId="0" applyNumberFormat="1" applyFont="1" applyFill="1" applyBorder="1" applyAlignment="1" applyProtection="1">
      <alignment horizontal="center" vertical="center"/>
      <protection locked="0"/>
    </xf>
    <xf numFmtId="176" fontId="3" fillId="3" borderId="39" xfId="0" applyNumberFormat="1" applyFont="1" applyFill="1" applyBorder="1" applyAlignment="1" applyProtection="1">
      <alignment horizontal="center" vertical="center"/>
      <protection locked="0"/>
    </xf>
    <xf numFmtId="176" fontId="3" fillId="3" borderId="26" xfId="0" applyNumberFormat="1" applyFont="1" applyFill="1" applyBorder="1" applyAlignment="1" applyProtection="1">
      <alignment horizontal="center" vertical="center"/>
      <protection locked="0"/>
    </xf>
    <xf numFmtId="176" fontId="3" fillId="3" borderId="27" xfId="0" applyNumberFormat="1" applyFont="1" applyFill="1" applyBorder="1" applyAlignment="1" applyProtection="1">
      <alignment horizontal="center" vertical="center"/>
      <protection locked="0"/>
    </xf>
    <xf numFmtId="176" fontId="3" fillId="3" borderId="29" xfId="0" applyNumberFormat="1" applyFont="1" applyFill="1" applyBorder="1" applyAlignment="1" applyProtection="1">
      <alignment horizontal="center" vertical="center"/>
      <protection locked="0"/>
    </xf>
    <xf numFmtId="0" fontId="4" fillId="4" borderId="15" xfId="14" applyFont="1" applyFill="1" applyBorder="1" applyAlignment="1" applyProtection="1">
      <alignment horizontal="right" vertical="center"/>
    </xf>
    <xf numFmtId="0" fontId="4" fillId="4" borderId="5" xfId="14" applyFont="1" applyFill="1" applyBorder="1" applyAlignment="1" applyProtection="1">
      <alignment horizontal="right" vertical="center"/>
    </xf>
    <xf numFmtId="0" fontId="4" fillId="4" borderId="7" xfId="14" applyFont="1" applyFill="1" applyBorder="1" applyAlignment="1" applyProtection="1">
      <alignment horizontal="right" vertical="center"/>
    </xf>
    <xf numFmtId="0" fontId="4" fillId="3" borderId="5" xfId="14" applyNumberFormat="1" applyFont="1" applyFill="1" applyBorder="1" applyAlignment="1" applyProtection="1">
      <alignment horizontal="center" vertical="center"/>
      <protection locked="0"/>
    </xf>
    <xf numFmtId="0" fontId="4" fillId="3" borderId="7" xfId="14" applyNumberFormat="1" applyFont="1" applyFill="1" applyBorder="1" applyAlignment="1" applyProtection="1">
      <alignment horizontal="center" vertical="center"/>
      <protection locked="0"/>
    </xf>
    <xf numFmtId="0" fontId="4" fillId="0" borderId="40" xfId="14" applyFont="1" applyFill="1" applyBorder="1" applyAlignment="1" applyProtection="1">
      <alignment horizontal="center" vertical="center"/>
    </xf>
    <xf numFmtId="0" fontId="4" fillId="0" borderId="55" xfId="14" applyFont="1" applyFill="1" applyBorder="1" applyAlignment="1" applyProtection="1">
      <alignment horizontal="center" vertical="center"/>
    </xf>
    <xf numFmtId="0" fontId="4" fillId="0" borderId="55" xfId="14" applyFont="1" applyFill="1" applyBorder="1" applyAlignment="1" applyProtection="1">
      <alignment horizontal="center" vertical="center" wrapText="1"/>
    </xf>
    <xf numFmtId="0" fontId="4" fillId="0" borderId="53" xfId="14" applyFont="1" applyFill="1" applyBorder="1" applyAlignment="1" applyProtection="1">
      <alignment vertical="center"/>
    </xf>
    <xf numFmtId="0" fontId="4" fillId="0" borderId="52" xfId="14" applyFont="1" applyFill="1" applyBorder="1" applyAlignment="1" applyProtection="1">
      <alignment vertical="center"/>
    </xf>
    <xf numFmtId="0" fontId="4" fillId="0" borderId="25" xfId="14" applyFont="1" applyFill="1" applyBorder="1" applyAlignment="1" applyProtection="1">
      <alignment vertical="center"/>
    </xf>
    <xf numFmtId="0" fontId="4" fillId="4" borderId="53" xfId="14" applyFont="1" applyFill="1" applyBorder="1" applyAlignment="1" applyProtection="1">
      <alignment horizontal="right" vertical="center"/>
    </xf>
    <xf numFmtId="0" fontId="4" fillId="4" borderId="25" xfId="14" applyFont="1" applyFill="1" applyBorder="1" applyAlignment="1" applyProtection="1">
      <alignment horizontal="right" vertical="center"/>
    </xf>
    <xf numFmtId="0" fontId="4" fillId="0" borderId="6" xfId="3" applyNumberFormat="1" applyFont="1" applyFill="1" applyBorder="1" applyProtection="1">
      <alignment vertical="center"/>
    </xf>
    <xf numFmtId="0" fontId="4" fillId="0" borderId="8" xfId="3" applyNumberFormat="1" applyFont="1" applyFill="1" applyBorder="1" applyProtection="1">
      <alignment vertical="center"/>
    </xf>
    <xf numFmtId="0" fontId="4" fillId="0" borderId="11" xfId="3" applyNumberFormat="1" applyFont="1" applyFill="1" applyBorder="1" applyProtection="1">
      <alignment vertical="center"/>
    </xf>
    <xf numFmtId="0" fontId="4" fillId="0" borderId="13" xfId="3" applyNumberFormat="1" applyFont="1" applyFill="1" applyBorder="1" applyProtection="1">
      <alignment vertical="center"/>
    </xf>
    <xf numFmtId="177" fontId="4" fillId="3" borderId="5" xfId="2" applyNumberFormat="1" applyFont="1" applyFill="1" applyBorder="1" applyAlignment="1" applyProtection="1">
      <alignment horizontal="right" vertical="center"/>
      <protection locked="0"/>
    </xf>
    <xf numFmtId="176" fontId="4" fillId="3" borderId="6" xfId="2" applyNumberFormat="1" applyFont="1" applyFill="1" applyBorder="1" applyAlignment="1" applyProtection="1">
      <alignment horizontal="right" vertical="center"/>
      <protection locked="0"/>
    </xf>
    <xf numFmtId="176" fontId="4" fillId="3" borderId="8" xfId="2" applyNumberFormat="1" applyFont="1" applyFill="1" applyBorder="1" applyAlignment="1" applyProtection="1">
      <alignment horizontal="right" vertical="center"/>
      <protection locked="0"/>
    </xf>
    <xf numFmtId="0" fontId="3" fillId="0" borderId="43" xfId="0" applyNumberFormat="1" applyFont="1" applyFill="1" applyBorder="1" applyProtection="1">
      <alignment vertical="center"/>
    </xf>
    <xf numFmtId="0" fontId="3" fillId="0" borderId="44" xfId="0" applyNumberFormat="1" applyFont="1" applyFill="1" applyBorder="1" applyProtection="1">
      <alignment vertical="center"/>
    </xf>
    <xf numFmtId="177" fontId="4" fillId="3" borderId="10" xfId="2" applyNumberFormat="1" applyFont="1" applyFill="1" applyBorder="1" applyAlignment="1" applyProtection="1">
      <alignment horizontal="right" vertical="center"/>
      <protection locked="0"/>
    </xf>
    <xf numFmtId="176" fontId="4" fillId="3" borderId="11" xfId="2" applyNumberFormat="1" applyFont="1" applyFill="1" applyBorder="1" applyAlignment="1" applyProtection="1">
      <alignment horizontal="right" vertical="center"/>
      <protection locked="0"/>
    </xf>
    <xf numFmtId="176" fontId="4" fillId="3" borderId="13" xfId="2" applyNumberFormat="1" applyFont="1" applyFill="1" applyBorder="1" applyAlignment="1" applyProtection="1">
      <alignment horizontal="right" vertical="center"/>
      <protection locked="0"/>
    </xf>
    <xf numFmtId="0" fontId="3" fillId="0" borderId="2" xfId="0" applyFont="1" applyFill="1" applyBorder="1" applyAlignment="1" applyProtection="1">
      <alignment horizontal="left" vertical="center"/>
    </xf>
    <xf numFmtId="177" fontId="10" fillId="0" borderId="1" xfId="0" applyNumberFormat="1" applyFont="1" applyFill="1" applyBorder="1" applyAlignment="1" applyProtection="1">
      <alignment horizontal="center" vertical="center" wrapText="1"/>
    </xf>
    <xf numFmtId="177" fontId="10" fillId="0" borderId="22" xfId="0" applyNumberFormat="1" applyFont="1" applyFill="1" applyBorder="1" applyAlignment="1" applyProtection="1">
      <alignment horizontal="center" vertical="center" wrapText="1"/>
    </xf>
    <xf numFmtId="177" fontId="3" fillId="0" borderId="1" xfId="0" applyNumberFormat="1" applyFont="1" applyFill="1" applyBorder="1" applyAlignment="1" applyProtection="1">
      <alignment horizontal="center" vertical="center" wrapText="1"/>
    </xf>
    <xf numFmtId="177" fontId="3" fillId="0" borderId="2" xfId="0" applyNumberFormat="1" applyFont="1" applyFill="1" applyBorder="1" applyAlignment="1" applyProtection="1">
      <alignment horizontal="center" vertical="center" wrapText="1"/>
    </xf>
    <xf numFmtId="177" fontId="3" fillId="0" borderId="22" xfId="0" applyNumberFormat="1" applyFont="1" applyFill="1" applyBorder="1" applyAlignment="1" applyProtection="1">
      <alignment horizontal="center" vertical="center" wrapText="1"/>
    </xf>
    <xf numFmtId="177" fontId="0" fillId="0" borderId="2" xfId="0" applyNumberFormat="1" applyFont="1" applyFill="1" applyBorder="1" applyAlignment="1" applyProtection="1">
      <alignment horizontal="center" vertical="center" wrapText="1"/>
    </xf>
    <xf numFmtId="177" fontId="3" fillId="0" borderId="1" xfId="0" applyNumberFormat="1" applyFont="1" applyFill="1" applyBorder="1" applyAlignment="1" applyProtection="1">
      <alignment horizontal="center" vertical="center" wrapText="1" shrinkToFit="1"/>
    </xf>
    <xf numFmtId="177" fontId="3" fillId="0" borderId="2" xfId="0" applyNumberFormat="1" applyFont="1" applyFill="1" applyBorder="1" applyAlignment="1" applyProtection="1">
      <alignment horizontal="center" vertical="center" shrinkToFit="1"/>
    </xf>
    <xf numFmtId="177" fontId="3" fillId="0" borderId="3" xfId="0" applyNumberFormat="1" applyFont="1" applyFill="1" applyBorder="1" applyAlignment="1" applyProtection="1">
      <alignment horizontal="center" vertical="center" shrinkToFit="1"/>
    </xf>
    <xf numFmtId="0" fontId="15" fillId="0" borderId="30" xfId="0" applyFont="1" applyFill="1" applyBorder="1" applyAlignment="1" applyProtection="1">
      <alignment horizontal="left" vertical="center" indent="1"/>
    </xf>
    <xf numFmtId="0" fontId="15" fillId="0" borderId="31" xfId="0" applyFont="1" applyFill="1" applyBorder="1" applyAlignment="1" applyProtection="1">
      <alignment horizontal="left" vertical="center" indent="1"/>
    </xf>
    <xf numFmtId="0" fontId="15" fillId="0" borderId="35" xfId="0" applyFont="1" applyFill="1" applyBorder="1" applyAlignment="1" applyProtection="1">
      <alignment horizontal="left" vertical="center" indent="1"/>
    </xf>
    <xf numFmtId="0" fontId="4" fillId="0" borderId="32" xfId="14" applyFont="1" applyFill="1" applyBorder="1" applyAlignment="1" applyProtection="1">
      <alignment horizontal="center" vertical="center" textRotation="255"/>
    </xf>
    <xf numFmtId="0" fontId="4" fillId="0" borderId="37" xfId="14" applyFont="1" applyFill="1" applyBorder="1" applyAlignment="1" applyProtection="1">
      <alignment horizontal="center" vertical="center" textRotation="255"/>
    </xf>
    <xf numFmtId="0" fontId="4" fillId="0" borderId="28" xfId="14" applyFont="1" applyFill="1" applyBorder="1" applyAlignment="1" applyProtection="1">
      <alignment horizontal="center" vertical="center" textRotation="255"/>
    </xf>
    <xf numFmtId="0" fontId="4" fillId="0" borderId="40" xfId="14" applyFont="1" applyFill="1" applyBorder="1" applyAlignment="1" applyProtection="1">
      <alignment horizontal="center" vertical="center" shrinkToFit="1"/>
    </xf>
    <xf numFmtId="177" fontId="4" fillId="3" borderId="20" xfId="2" applyNumberFormat="1" applyFont="1" applyFill="1" applyBorder="1" applyAlignment="1" applyProtection="1">
      <alignment horizontal="right" vertical="center"/>
      <protection locked="0"/>
    </xf>
    <xf numFmtId="177" fontId="4" fillId="3" borderId="11" xfId="2" applyNumberFormat="1" applyFont="1" applyFill="1" applyBorder="1" applyAlignment="1" applyProtection="1">
      <alignment horizontal="right" vertical="center"/>
      <protection locked="0"/>
    </xf>
    <xf numFmtId="177" fontId="4" fillId="3" borderId="12" xfId="2" applyNumberFormat="1" applyFont="1" applyFill="1" applyBorder="1" applyAlignment="1" applyProtection="1">
      <alignment horizontal="right" vertical="center"/>
      <protection locked="0"/>
    </xf>
    <xf numFmtId="177" fontId="4" fillId="3" borderId="46" xfId="2" applyNumberFormat="1" applyFont="1" applyFill="1" applyBorder="1" applyAlignment="1" applyProtection="1">
      <alignment horizontal="right" vertical="center"/>
      <protection locked="0"/>
    </xf>
    <xf numFmtId="176" fontId="4" fillId="3" borderId="43" xfId="2" applyNumberFormat="1" applyFont="1" applyFill="1" applyBorder="1" applyAlignment="1" applyProtection="1">
      <alignment horizontal="right" vertical="center"/>
      <protection locked="0"/>
    </xf>
    <xf numFmtId="176" fontId="4" fillId="3" borderId="44" xfId="2" applyNumberFormat="1" applyFont="1" applyFill="1" applyBorder="1" applyAlignment="1" applyProtection="1">
      <alignment horizontal="right" vertical="center"/>
      <protection locked="0"/>
    </xf>
    <xf numFmtId="177" fontId="4" fillId="0" borderId="51" xfId="2" applyNumberFormat="1" applyFont="1" applyFill="1" applyBorder="1" applyAlignment="1" applyProtection="1">
      <alignment vertical="center"/>
    </xf>
    <xf numFmtId="177" fontId="4" fillId="0" borderId="48" xfId="2" applyNumberFormat="1" applyFont="1" applyFill="1" applyBorder="1" applyAlignment="1" applyProtection="1">
      <alignment vertical="center"/>
    </xf>
    <xf numFmtId="177" fontId="4" fillId="0" borderId="49" xfId="2" applyNumberFormat="1" applyFont="1" applyFill="1" applyBorder="1" applyAlignment="1" applyProtection="1">
      <alignment vertical="center"/>
    </xf>
    <xf numFmtId="0" fontId="3" fillId="0" borderId="48" xfId="0" applyNumberFormat="1" applyFont="1" applyFill="1" applyBorder="1" applyProtection="1">
      <alignment vertical="center"/>
    </xf>
    <xf numFmtId="0" fontId="3" fillId="0" borderId="49" xfId="0" applyNumberFormat="1" applyFont="1" applyFill="1" applyBorder="1" applyProtection="1">
      <alignment vertical="center"/>
    </xf>
    <xf numFmtId="177" fontId="4" fillId="3" borderId="42" xfId="2" applyNumberFormat="1" applyFont="1" applyFill="1" applyBorder="1" applyAlignment="1" applyProtection="1">
      <alignment horizontal="right" vertical="center"/>
      <protection locked="0"/>
    </xf>
    <xf numFmtId="177" fontId="4" fillId="3" borderId="43" xfId="2" applyNumberFormat="1" applyFont="1" applyFill="1" applyBorder="1" applyAlignment="1" applyProtection="1">
      <alignment horizontal="right" vertical="center"/>
      <protection locked="0"/>
    </xf>
    <xf numFmtId="177" fontId="4" fillId="3" borderId="45" xfId="2" applyNumberFormat="1" applyFont="1" applyFill="1" applyBorder="1" applyAlignment="1" applyProtection="1">
      <alignment horizontal="right" vertical="center"/>
      <protection locked="0"/>
    </xf>
    <xf numFmtId="177" fontId="4" fillId="0" borderId="47" xfId="2" applyNumberFormat="1" applyFont="1" applyFill="1" applyBorder="1" applyAlignment="1" applyProtection="1">
      <alignment vertical="center"/>
    </xf>
    <xf numFmtId="177" fontId="4" fillId="0" borderId="50" xfId="2" applyNumberFormat="1" applyFont="1" applyFill="1" applyBorder="1" applyAlignment="1" applyProtection="1">
      <alignment vertical="center"/>
    </xf>
    <xf numFmtId="0" fontId="21" fillId="0" borderId="27" xfId="0" applyFont="1" applyFill="1" applyBorder="1" applyAlignment="1" applyProtection="1">
      <alignment wrapText="1"/>
    </xf>
    <xf numFmtId="0" fontId="21" fillId="0" borderId="27" xfId="0" applyFont="1" applyFill="1" applyBorder="1" applyAlignment="1" applyProtection="1"/>
    <xf numFmtId="0" fontId="3" fillId="0" borderId="0" xfId="0" applyFont="1" applyFill="1" applyBorder="1" applyAlignment="1" applyProtection="1">
      <alignment vertical="center"/>
    </xf>
    <xf numFmtId="0" fontId="3" fillId="0" borderId="19" xfId="0" applyFont="1" applyFill="1" applyBorder="1" applyAlignment="1" applyProtection="1">
      <alignment horizontal="left" vertical="center" indent="1"/>
    </xf>
    <xf numFmtId="0" fontId="3" fillId="0" borderId="6" xfId="0" applyFont="1" applyFill="1" applyBorder="1" applyAlignment="1" applyProtection="1">
      <alignment horizontal="left" vertical="center" indent="1"/>
    </xf>
    <xf numFmtId="0" fontId="3" fillId="0" borderId="8" xfId="0" applyFont="1" applyFill="1" applyBorder="1" applyAlignment="1" applyProtection="1">
      <alignment horizontal="left" vertical="center" indent="1"/>
    </xf>
    <xf numFmtId="0" fontId="4" fillId="0" borderId="19" xfId="2" applyNumberFormat="1" applyFont="1" applyFill="1" applyBorder="1" applyAlignment="1" applyProtection="1">
      <alignment horizontal="center" vertical="center"/>
    </xf>
    <xf numFmtId="0" fontId="4" fillId="0" borderId="6" xfId="2" applyNumberFormat="1" applyFont="1" applyFill="1" applyBorder="1" applyAlignment="1" applyProtection="1">
      <alignment horizontal="center" vertical="center"/>
    </xf>
    <xf numFmtId="0" fontId="4" fillId="0" borderId="7" xfId="2" applyNumberFormat="1" applyFont="1" applyFill="1" applyBorder="1" applyAlignment="1" applyProtection="1">
      <alignment horizontal="center" vertical="center"/>
    </xf>
    <xf numFmtId="177" fontId="4" fillId="3" borderId="19" xfId="2" applyNumberFormat="1" applyFont="1" applyFill="1" applyBorder="1" applyAlignment="1" applyProtection="1">
      <alignment horizontal="right" vertical="center"/>
      <protection locked="0"/>
    </xf>
    <xf numFmtId="177" fontId="4" fillId="3" borderId="6" xfId="2" applyNumberFormat="1" applyFont="1" applyFill="1" applyBorder="1" applyAlignment="1" applyProtection="1">
      <alignment horizontal="right" vertical="center"/>
      <protection locked="0"/>
    </xf>
    <xf numFmtId="177" fontId="4" fillId="3" borderId="7" xfId="2" applyNumberFormat="1" applyFont="1" applyFill="1" applyBorder="1" applyAlignment="1" applyProtection="1">
      <alignment horizontal="right" vertical="center"/>
      <protection locked="0"/>
    </xf>
    <xf numFmtId="0" fontId="3" fillId="4" borderId="34" xfId="0" applyFont="1" applyFill="1" applyBorder="1" applyAlignment="1" applyProtection="1">
      <alignment horizontal="center" vertical="center"/>
    </xf>
    <xf numFmtId="0" fontId="3" fillId="4" borderId="31" xfId="0" applyFont="1" applyFill="1" applyBorder="1" applyAlignment="1" applyProtection="1">
      <alignment horizontal="center" vertical="center"/>
    </xf>
    <xf numFmtId="0" fontId="3" fillId="4" borderId="32" xfId="0" applyFont="1" applyFill="1" applyBorder="1" applyAlignment="1" applyProtection="1">
      <alignment horizontal="center" vertical="center"/>
    </xf>
    <xf numFmtId="0" fontId="3" fillId="4" borderId="41"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37" xfId="0" applyFont="1" applyFill="1" applyBorder="1" applyAlignment="1" applyProtection="1">
      <alignment horizontal="center" vertical="center"/>
    </xf>
    <xf numFmtId="0" fontId="3" fillId="4" borderId="26" xfId="0" applyFont="1" applyFill="1" applyBorder="1" applyAlignment="1" applyProtection="1">
      <alignment horizontal="center" vertical="center"/>
    </xf>
    <xf numFmtId="0" fontId="3" fillId="4" borderId="27" xfId="0" applyFont="1" applyFill="1" applyBorder="1" applyAlignment="1" applyProtection="1">
      <alignment horizontal="center" vertical="center"/>
    </xf>
    <xf numFmtId="0" fontId="3" fillId="4" borderId="28" xfId="0" applyFont="1" applyFill="1" applyBorder="1" applyAlignment="1" applyProtection="1">
      <alignment horizontal="center" vertical="center"/>
    </xf>
    <xf numFmtId="0" fontId="4" fillId="4" borderId="34" xfId="14" applyFont="1" applyFill="1" applyBorder="1" applyAlignment="1" applyProtection="1">
      <alignment horizontal="center" vertical="center"/>
    </xf>
    <xf numFmtId="0" fontId="4" fillId="4" borderId="32" xfId="14" applyFont="1" applyFill="1" applyBorder="1" applyAlignment="1" applyProtection="1">
      <alignment horizontal="center" vertical="center"/>
    </xf>
    <xf numFmtId="0" fontId="4" fillId="4" borderId="41" xfId="14" applyFont="1" applyFill="1" applyBorder="1" applyAlignment="1" applyProtection="1">
      <alignment horizontal="center" vertical="center"/>
    </xf>
    <xf numFmtId="0" fontId="4" fillId="4" borderId="37" xfId="14" applyFont="1" applyFill="1" applyBorder="1" applyAlignment="1" applyProtection="1">
      <alignment horizontal="center" vertical="center"/>
    </xf>
    <xf numFmtId="49" fontId="4" fillId="4" borderId="26" xfId="14" applyNumberFormat="1" applyFont="1" applyFill="1" applyBorder="1" applyAlignment="1" applyProtection="1">
      <alignment horizontal="center" vertical="center"/>
    </xf>
    <xf numFmtId="0" fontId="4" fillId="4" borderId="28" xfId="14" applyFont="1" applyFill="1" applyBorder="1" applyAlignment="1" applyProtection="1">
      <alignment horizontal="center" vertical="center"/>
    </xf>
    <xf numFmtId="0" fontId="3" fillId="4" borderId="35" xfId="0" applyFont="1" applyFill="1" applyBorder="1" applyAlignment="1" applyProtection="1">
      <alignment horizontal="center" vertical="center"/>
    </xf>
    <xf numFmtId="0" fontId="3" fillId="4" borderId="39" xfId="0" applyFont="1" applyFill="1" applyBorder="1" applyAlignment="1" applyProtection="1">
      <alignment horizontal="center" vertical="center"/>
    </xf>
    <xf numFmtId="176" fontId="3" fillId="4" borderId="26" xfId="0" applyNumberFormat="1" applyFont="1" applyFill="1" applyBorder="1" applyAlignment="1" applyProtection="1">
      <alignment horizontal="center" vertical="center"/>
    </xf>
    <xf numFmtId="0" fontId="3" fillId="4" borderId="29" xfId="0" applyFont="1" applyFill="1" applyBorder="1" applyAlignment="1" applyProtection="1">
      <alignment horizontal="center" vertical="center"/>
    </xf>
    <xf numFmtId="177" fontId="4" fillId="4" borderId="5" xfId="14" applyNumberFormat="1" applyFont="1" applyFill="1" applyBorder="1" applyAlignment="1" applyProtection="1">
      <alignment horizontal="right" vertical="center"/>
    </xf>
    <xf numFmtId="0" fontId="3" fillId="0" borderId="34"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49" fontId="3" fillId="3" borderId="34" xfId="0" applyNumberFormat="1" applyFont="1" applyFill="1" applyBorder="1" applyAlignment="1" applyProtection="1">
      <alignment horizontal="center" vertical="center"/>
      <protection locked="0"/>
    </xf>
    <xf numFmtId="49" fontId="3" fillId="3" borderId="32" xfId="0" applyNumberFormat="1" applyFont="1" applyFill="1" applyBorder="1" applyAlignment="1" applyProtection="1">
      <alignment horizontal="center" vertical="center"/>
      <protection locked="0"/>
    </xf>
    <xf numFmtId="49" fontId="3" fillId="3" borderId="26" xfId="0" applyNumberFormat="1" applyFont="1" applyFill="1" applyBorder="1" applyAlignment="1" applyProtection="1">
      <alignment horizontal="center" vertical="center"/>
      <protection locked="0"/>
    </xf>
    <xf numFmtId="49" fontId="3" fillId="3" borderId="28" xfId="0" applyNumberFormat="1" applyFont="1" applyFill="1" applyBorder="1" applyAlignment="1" applyProtection="1">
      <alignment horizontal="center" vertical="center"/>
      <protection locked="0"/>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17" xfId="0" applyFont="1" applyFill="1" applyBorder="1" applyAlignment="1" applyProtection="1">
      <alignment vertical="center"/>
    </xf>
    <xf numFmtId="0" fontId="4" fillId="0" borderId="24" xfId="0"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177" fontId="4" fillId="3" borderId="5" xfId="14" applyNumberFormat="1" applyFont="1" applyFill="1" applyBorder="1" applyAlignment="1" applyProtection="1">
      <alignment horizontal="right" vertical="center"/>
      <protection locked="0"/>
    </xf>
    <xf numFmtId="0" fontId="4" fillId="3" borderId="7" xfId="14" applyFont="1" applyFill="1" applyBorder="1" applyAlignment="1" applyProtection="1">
      <alignment horizontal="right" vertical="center"/>
      <protection locked="0"/>
    </xf>
    <xf numFmtId="0" fontId="3" fillId="0" borderId="4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3" borderId="32" xfId="0" applyFont="1" applyFill="1" applyBorder="1" applyAlignment="1" applyProtection="1">
      <alignment horizontal="center" vertical="center"/>
      <protection locked="0"/>
    </xf>
    <xf numFmtId="49" fontId="3" fillId="3" borderId="41" xfId="0" applyNumberFormat="1" applyFont="1" applyFill="1" applyBorder="1" applyAlignment="1" applyProtection="1">
      <alignment horizontal="center" vertical="center"/>
      <protection locked="0"/>
    </xf>
    <xf numFmtId="0" fontId="3" fillId="3" borderId="37" xfId="0" applyFont="1" applyFill="1" applyBorder="1" applyAlignment="1" applyProtection="1">
      <alignment horizontal="center" vertical="center"/>
      <protection locked="0"/>
    </xf>
    <xf numFmtId="0" fontId="3" fillId="3" borderId="41"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31" xfId="0" applyFont="1" applyFill="1" applyBorder="1" applyAlignment="1" applyProtection="1">
      <alignment horizontal="center" vertical="center"/>
      <protection locked="0"/>
    </xf>
    <xf numFmtId="0" fontId="3" fillId="3" borderId="35"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39"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protection locked="0"/>
    </xf>
    <xf numFmtId="177" fontId="4" fillId="3" borderId="10" xfId="14" applyNumberFormat="1" applyFont="1" applyFill="1" applyBorder="1" applyAlignment="1" applyProtection="1">
      <alignment horizontal="right" vertical="center"/>
      <protection locked="0"/>
    </xf>
    <xf numFmtId="0" fontId="4" fillId="3" borderId="12" xfId="14" applyFont="1" applyFill="1" applyBorder="1" applyAlignment="1" applyProtection="1">
      <alignment horizontal="right" vertical="center"/>
      <protection locked="0"/>
    </xf>
    <xf numFmtId="0" fontId="4" fillId="0" borderId="1" xfId="14" applyFont="1" applyFill="1" applyBorder="1" applyAlignment="1" applyProtection="1">
      <alignment vertical="center"/>
    </xf>
    <xf numFmtId="0" fontId="4" fillId="3" borderId="1" xfId="14" applyNumberFormat="1" applyFont="1" applyFill="1" applyBorder="1" applyAlignment="1" applyProtection="1">
      <alignment horizontal="center" vertical="center"/>
      <protection locked="0"/>
    </xf>
    <xf numFmtId="0" fontId="4" fillId="3" borderId="22" xfId="14" applyNumberFormat="1" applyFont="1" applyFill="1" applyBorder="1" applyAlignment="1" applyProtection="1">
      <alignment horizontal="center" vertical="center"/>
      <protection locked="0"/>
    </xf>
    <xf numFmtId="0" fontId="3" fillId="0" borderId="27" xfId="0" applyFont="1" applyFill="1" applyBorder="1" applyProtection="1">
      <alignment vertical="center"/>
    </xf>
    <xf numFmtId="0" fontId="3" fillId="4" borderId="1"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22" xfId="0"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22" xfId="0" applyNumberFormat="1" applyFont="1" applyFill="1" applyBorder="1" applyAlignment="1" applyProtection="1">
      <alignment horizontal="center" vertical="center"/>
    </xf>
    <xf numFmtId="176" fontId="3" fillId="4" borderId="1" xfId="0" applyNumberFormat="1" applyFont="1" applyFill="1" applyBorder="1" applyAlignment="1" applyProtection="1">
      <alignment horizontal="center" vertical="center"/>
    </xf>
    <xf numFmtId="176" fontId="3" fillId="4" borderId="2" xfId="0" applyNumberFormat="1" applyFont="1" applyFill="1" applyBorder="1" applyAlignment="1" applyProtection="1">
      <alignment horizontal="center" vertical="center"/>
    </xf>
    <xf numFmtId="176" fontId="3" fillId="4" borderId="3" xfId="0" applyNumberFormat="1" applyFont="1" applyFill="1" applyBorder="1" applyAlignment="1" applyProtection="1">
      <alignment horizontal="center" vertical="center"/>
    </xf>
    <xf numFmtId="177" fontId="4" fillId="3" borderId="15" xfId="14" applyNumberFormat="1" applyFont="1" applyFill="1" applyBorder="1" applyAlignment="1" applyProtection="1">
      <alignment horizontal="right" vertical="center"/>
      <protection locked="0"/>
    </xf>
    <xf numFmtId="0" fontId="4" fillId="3" borderId="17" xfId="14" applyFont="1" applyFill="1" applyBorder="1" applyAlignment="1" applyProtection="1">
      <alignment horizontal="right" vertical="center"/>
      <protection locked="0"/>
    </xf>
    <xf numFmtId="177" fontId="4" fillId="4" borderId="1" xfId="14" applyNumberFormat="1" applyFont="1" applyFill="1" applyBorder="1" applyAlignment="1" applyProtection="1">
      <alignment horizontal="right" vertical="center"/>
    </xf>
    <xf numFmtId="0" fontId="4" fillId="4" borderId="22" xfId="14" applyFont="1" applyFill="1" applyBorder="1" applyAlignment="1" applyProtection="1">
      <alignment horizontal="right" vertical="center"/>
    </xf>
    <xf numFmtId="0" fontId="3" fillId="0" borderId="2" xfId="0"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176" fontId="3" fillId="3" borderId="1"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4" fillId="4" borderId="1" xfId="14" applyFont="1" applyFill="1" applyBorder="1" applyAlignment="1" applyProtection="1">
      <alignment horizontal="right" vertical="center"/>
    </xf>
    <xf numFmtId="0" fontId="4" fillId="0" borderId="1" xfId="14" applyFont="1" applyFill="1" applyBorder="1" applyAlignment="1" applyProtection="1">
      <alignment horizontal="left" vertical="center"/>
    </xf>
    <xf numFmtId="0" fontId="4" fillId="0" borderId="2" xfId="14" applyFont="1" applyFill="1" applyBorder="1" applyAlignment="1" applyProtection="1">
      <alignment horizontal="left" vertical="center"/>
    </xf>
    <xf numFmtId="0" fontId="4" fillId="0" borderId="22" xfId="14" applyFont="1" applyFill="1" applyBorder="1" applyAlignment="1" applyProtection="1">
      <alignment horizontal="left" vertical="center"/>
    </xf>
    <xf numFmtId="49" fontId="3" fillId="3" borderId="0" xfId="0" applyNumberFormat="1" applyFont="1" applyFill="1" applyBorder="1" applyAlignment="1" applyProtection="1">
      <alignment horizontal="left" vertical="center"/>
      <protection locked="0"/>
    </xf>
    <xf numFmtId="177" fontId="3" fillId="3" borderId="0" xfId="0" applyNumberFormat="1" applyFont="1" applyFill="1" applyBorder="1" applyAlignment="1" applyProtection="1">
      <alignment horizontal="right" vertical="center"/>
      <protection locked="0"/>
    </xf>
    <xf numFmtId="0" fontId="3" fillId="0" borderId="0" xfId="0" applyNumberFormat="1" applyFont="1" applyFill="1" applyBorder="1" applyProtection="1">
      <alignment vertical="center"/>
    </xf>
    <xf numFmtId="176" fontId="21" fillId="0" borderId="0" xfId="0" applyNumberFormat="1" applyFont="1" applyFill="1" applyBorder="1" applyAlignment="1" applyProtection="1">
      <alignment vertical="top" wrapText="1"/>
    </xf>
    <xf numFmtId="176" fontId="3" fillId="0" borderId="0" xfId="0" applyNumberFormat="1" applyFont="1" applyFill="1" applyBorder="1" applyAlignment="1" applyProtection="1">
      <alignment horizontal="left" vertical="center"/>
    </xf>
    <xf numFmtId="176" fontId="0" fillId="0" borderId="5" xfId="0" applyNumberFormat="1" applyFill="1" applyBorder="1" applyAlignment="1" applyProtection="1">
      <alignment horizontal="center" vertical="center" wrapText="1"/>
    </xf>
    <xf numFmtId="176" fontId="0" fillId="0" borderId="6" xfId="0" applyNumberFormat="1" applyFill="1" applyBorder="1" applyAlignment="1" applyProtection="1">
      <alignment horizontal="center" vertical="center" wrapText="1"/>
    </xf>
    <xf numFmtId="176" fontId="0" fillId="0" borderId="7" xfId="0" applyNumberFormat="1" applyFill="1" applyBorder="1" applyAlignment="1" applyProtection="1">
      <alignment horizontal="center" vertical="center" wrapText="1"/>
    </xf>
    <xf numFmtId="176" fontId="0" fillId="0" borderId="1" xfId="0" applyNumberFormat="1" applyFill="1" applyBorder="1" applyAlignment="1" applyProtection="1">
      <alignment horizontal="center" vertical="center" wrapText="1"/>
    </xf>
    <xf numFmtId="176" fontId="0" fillId="0" borderId="2" xfId="0" applyNumberFormat="1" applyFill="1" applyBorder="1" applyAlignment="1" applyProtection="1">
      <alignment horizontal="center" vertical="center" wrapText="1"/>
    </xf>
    <xf numFmtId="176" fontId="0" fillId="0" borderId="3" xfId="0" applyNumberFormat="1" applyFill="1" applyBorder="1" applyAlignment="1" applyProtection="1">
      <alignment horizontal="center" vertical="center" wrapText="1"/>
    </xf>
    <xf numFmtId="49" fontId="3" fillId="3" borderId="0" xfId="0" applyNumberFormat="1" applyFont="1" applyFill="1" applyBorder="1" applyAlignment="1" applyProtection="1">
      <alignment vertical="center" shrinkToFit="1"/>
      <protection locked="0"/>
    </xf>
    <xf numFmtId="180" fontId="3" fillId="3" borderId="0" xfId="0" applyNumberFormat="1" applyFont="1" applyFill="1" applyBorder="1" applyAlignment="1" applyProtection="1">
      <alignment horizontal="left" vertical="center"/>
      <protection locked="0"/>
    </xf>
    <xf numFmtId="177" fontId="3" fillId="3" borderId="0" xfId="0" applyNumberFormat="1" applyFont="1" applyFill="1" applyBorder="1" applyAlignment="1" applyProtection="1">
      <alignment horizontal="left" vertical="center"/>
      <protection locked="0"/>
    </xf>
    <xf numFmtId="177" fontId="21" fillId="0" borderId="0" xfId="0" applyNumberFormat="1" applyFont="1" applyFill="1" applyBorder="1" applyAlignment="1" applyProtection="1">
      <alignment vertical="top"/>
    </xf>
    <xf numFmtId="0" fontId="15" fillId="0" borderId="0" xfId="0" applyFont="1" applyFill="1" applyBorder="1" applyProtection="1">
      <alignment vertical="center"/>
    </xf>
    <xf numFmtId="0" fontId="3" fillId="3" borderId="0" xfId="0" applyNumberFormat="1" applyFont="1" applyFill="1" applyBorder="1" applyAlignment="1" applyProtection="1">
      <alignment horizontal="left" vertical="center"/>
      <protection locked="0"/>
    </xf>
    <xf numFmtId="181" fontId="3" fillId="3" borderId="0" xfId="0" applyNumberFormat="1" applyFont="1" applyFill="1" applyBorder="1" applyAlignment="1" applyProtection="1">
      <alignment horizontal="right" vertical="center"/>
      <protection locked="0"/>
    </xf>
    <xf numFmtId="0" fontId="4" fillId="0" borderId="27" xfId="3" applyNumberFormat="1" applyFont="1" applyFill="1" applyBorder="1" applyProtection="1">
      <alignment vertical="center"/>
    </xf>
    <xf numFmtId="0" fontId="66" fillId="0" borderId="31" xfId="0" applyFont="1" applyFill="1" applyBorder="1" applyAlignment="1" applyProtection="1">
      <alignment vertical="top" wrapText="1"/>
    </xf>
    <xf numFmtId="0" fontId="66" fillId="0" borderId="31" xfId="0" applyFont="1" applyFill="1" applyBorder="1" applyAlignment="1" applyProtection="1">
      <alignment vertical="top"/>
    </xf>
    <xf numFmtId="0" fontId="4" fillId="0" borderId="0" xfId="3" applyNumberFormat="1" applyFont="1" applyFill="1" applyBorder="1" applyProtection="1">
      <alignment vertical="center"/>
    </xf>
    <xf numFmtId="176" fontId="3" fillId="3" borderId="0" xfId="0" applyNumberFormat="1" applyFont="1" applyFill="1" applyBorder="1" applyAlignment="1" applyProtection="1">
      <alignment horizontal="right" vertical="center"/>
      <protection locked="0"/>
    </xf>
    <xf numFmtId="178" fontId="7" fillId="0" borderId="0" xfId="2" applyNumberFormat="1" applyFont="1" applyFill="1" applyAlignment="1" applyProtection="1">
      <alignment horizontal="right" vertical="top"/>
    </xf>
    <xf numFmtId="0" fontId="29" fillId="0" borderId="0" xfId="6" applyFont="1" applyBorder="1" applyAlignment="1"/>
    <xf numFmtId="38" fontId="29" fillId="0" borderId="52" xfId="18" applyFont="1" applyBorder="1" applyAlignment="1"/>
    <xf numFmtId="0" fontId="29" fillId="0" borderId="52" xfId="6" applyFont="1" applyBorder="1" applyAlignment="1"/>
    <xf numFmtId="0" fontId="39" fillId="0" borderId="10" xfId="2" applyFont="1" applyBorder="1" applyAlignment="1">
      <alignment vertical="center" shrinkToFit="1"/>
    </xf>
    <xf numFmtId="0" fontId="39" fillId="0" borderId="11" xfId="2" applyFont="1" applyBorder="1" applyAlignment="1">
      <alignment vertical="center" shrinkToFit="1"/>
    </xf>
    <xf numFmtId="183" fontId="39" fillId="0" borderId="10" xfId="8" applyNumberFormat="1" applyFont="1" applyBorder="1" applyAlignment="1">
      <alignment horizontal="right" vertical="center"/>
    </xf>
    <xf numFmtId="183" fontId="39" fillId="0" borderId="11" xfId="8" applyNumberFormat="1" applyFont="1" applyBorder="1" applyAlignment="1">
      <alignment horizontal="right" vertical="center"/>
    </xf>
    <xf numFmtId="182" fontId="41" fillId="0" borderId="63" xfId="2" applyNumberFormat="1" applyFont="1" applyBorder="1" applyAlignment="1">
      <alignment horizontal="right" vertical="center"/>
    </xf>
    <xf numFmtId="182" fontId="41" fillId="0" borderId="69" xfId="2" applyNumberFormat="1" applyFont="1" applyBorder="1" applyAlignment="1">
      <alignment horizontal="right" vertical="center"/>
    </xf>
    <xf numFmtId="0" fontId="41" fillId="0" borderId="69" xfId="2" applyFont="1" applyBorder="1" applyAlignment="1">
      <alignment vertical="center" shrinkToFit="1"/>
    </xf>
    <xf numFmtId="0" fontId="41" fillId="0" borderId="0" xfId="2" applyFont="1" applyBorder="1" applyAlignment="1">
      <alignment horizontal="center" vertical="center"/>
    </xf>
    <xf numFmtId="182" fontId="41" fillId="0" borderId="41" xfId="2" applyNumberFormat="1" applyFont="1" applyBorder="1" applyAlignment="1">
      <alignment horizontal="right" vertical="center"/>
    </xf>
    <xf numFmtId="182" fontId="41" fillId="0" borderId="0" xfId="2" applyNumberFormat="1" applyFont="1" applyBorder="1" applyAlignment="1">
      <alignment horizontal="right" vertical="center"/>
    </xf>
    <xf numFmtId="0" fontId="41" fillId="0" borderId="0" xfId="2" applyFont="1" applyBorder="1" applyAlignment="1">
      <alignment vertical="center" shrinkToFit="1"/>
    </xf>
    <xf numFmtId="0" fontId="41" fillId="0" borderId="37" xfId="2" applyFont="1" applyBorder="1" applyAlignment="1">
      <alignment vertical="center" shrinkToFit="1"/>
    </xf>
    <xf numFmtId="0" fontId="31" fillId="5" borderId="66" xfId="6" applyFont="1" applyFill="1" applyBorder="1" applyAlignment="1">
      <alignment horizontal="distributed" vertical="center" indent="1"/>
    </xf>
    <xf numFmtId="0" fontId="31" fillId="5" borderId="67" xfId="6" applyFont="1" applyFill="1" applyBorder="1" applyAlignment="1">
      <alignment horizontal="distributed" vertical="center" indent="1"/>
    </xf>
    <xf numFmtId="0" fontId="31" fillId="5" borderId="68" xfId="6" applyFont="1" applyFill="1" applyBorder="1" applyAlignment="1">
      <alignment horizontal="distributed" vertical="center" indent="1"/>
    </xf>
    <xf numFmtId="0" fontId="36" fillId="0" borderId="10" xfId="13" applyFont="1" applyBorder="1" applyAlignment="1" applyProtection="1">
      <alignment horizontal="left" vertical="center"/>
    </xf>
    <xf numFmtId="0" fontId="36" fillId="0" borderId="11" xfId="13" applyFont="1" applyBorder="1" applyAlignment="1" applyProtection="1">
      <alignment horizontal="left" vertical="center"/>
    </xf>
    <xf numFmtId="0" fontId="37" fillId="0" borderId="11" xfId="0" applyFont="1" applyBorder="1">
      <alignment vertical="center"/>
    </xf>
    <xf numFmtId="0" fontId="37" fillId="0" borderId="11" xfId="0" applyFont="1" applyBorder="1" applyAlignment="1">
      <alignment horizontal="left" vertical="center"/>
    </xf>
    <xf numFmtId="0" fontId="39" fillId="0" borderId="0" xfId="2" applyFont="1" applyBorder="1" applyAlignment="1">
      <alignment horizontal="center" vertical="center" wrapText="1"/>
    </xf>
    <xf numFmtId="0" fontId="39" fillId="0" borderId="10" xfId="2" applyFont="1" applyBorder="1" applyAlignment="1">
      <alignment horizontal="center" vertical="center"/>
    </xf>
    <xf numFmtId="0" fontId="39" fillId="0" borderId="11" xfId="2" applyFont="1" applyBorder="1" applyAlignment="1">
      <alignment horizontal="center" vertical="center"/>
    </xf>
    <xf numFmtId="0" fontId="39" fillId="0" borderId="12" xfId="2" applyFont="1" applyBorder="1" applyAlignment="1">
      <alignment horizontal="center" vertical="center"/>
    </xf>
    <xf numFmtId="0" fontId="39" fillId="0" borderId="53" xfId="2" applyFont="1" applyBorder="1" applyAlignment="1">
      <alignment horizontal="center" vertical="center"/>
    </xf>
    <xf numFmtId="0" fontId="39" fillId="0" borderId="52" xfId="2" applyFont="1" applyBorder="1" applyAlignment="1">
      <alignment horizontal="center" vertical="center"/>
    </xf>
    <xf numFmtId="0" fontId="39" fillId="0" borderId="25" xfId="2" applyFont="1" applyBorder="1" applyAlignment="1">
      <alignment horizontal="center" vertical="center"/>
    </xf>
    <xf numFmtId="0" fontId="40" fillId="0" borderId="69" xfId="2" applyFont="1" applyBorder="1" applyAlignment="1">
      <alignment horizontal="center" vertical="center"/>
    </xf>
    <xf numFmtId="0" fontId="41" fillId="0" borderId="70" xfId="2" applyFont="1" applyBorder="1" applyAlignment="1">
      <alignment vertical="center" shrinkToFit="1"/>
    </xf>
    <xf numFmtId="0" fontId="29" fillId="0" borderId="0" xfId="6" applyFont="1" applyBorder="1" applyAlignment="1">
      <alignment horizontal="distributed"/>
    </xf>
    <xf numFmtId="0" fontId="33" fillId="0" borderId="52" xfId="2" applyFont="1" applyBorder="1" applyAlignment="1" applyProtection="1">
      <alignment horizontal="left"/>
    </xf>
    <xf numFmtId="0" fontId="29" fillId="0" borderId="52" xfId="6" applyFont="1" applyBorder="1" applyAlignment="1">
      <alignment horizontal="left"/>
    </xf>
    <xf numFmtId="0" fontId="29" fillId="0" borderId="0" xfId="6" applyFont="1" applyAlignment="1">
      <alignment horizontal="distributed"/>
    </xf>
    <xf numFmtId="0" fontId="34" fillId="0" borderId="0" xfId="6" applyFont="1" applyBorder="1" applyAlignment="1">
      <alignment horizontal="left"/>
    </xf>
    <xf numFmtId="0" fontId="34" fillId="0" borderId="0" xfId="6" applyFont="1" applyBorder="1" applyAlignment="1">
      <alignment horizontal="distributed"/>
    </xf>
    <xf numFmtId="0" fontId="34" fillId="0" borderId="0" xfId="6" applyFont="1" applyBorder="1" applyAlignment="1">
      <alignment vertical="center"/>
    </xf>
    <xf numFmtId="0" fontId="34" fillId="0" borderId="0" xfId="6" applyFont="1" applyBorder="1" applyAlignment="1"/>
    <xf numFmtId="0" fontId="33" fillId="0" borderId="52" xfId="2" applyNumberFormat="1" applyFont="1" applyBorder="1" applyAlignment="1" applyProtection="1">
      <alignment horizontal="left"/>
    </xf>
    <xf numFmtId="0" fontId="29" fillId="0" borderId="0" xfId="6" applyFont="1" applyBorder="1" applyAlignment="1">
      <alignment horizontal="left"/>
    </xf>
    <xf numFmtId="14" fontId="33" fillId="0" borderId="52" xfId="2" applyNumberFormat="1" applyFont="1" applyBorder="1" applyAlignment="1" applyProtection="1">
      <alignment horizontal="left" shrinkToFit="1"/>
    </xf>
    <xf numFmtId="0" fontId="29" fillId="0" borderId="0" xfId="6" applyFont="1" applyBorder="1" applyAlignment="1">
      <alignment horizontal="right"/>
    </xf>
    <xf numFmtId="185" fontId="33" fillId="0" borderId="52" xfId="2" applyNumberFormat="1" applyFont="1" applyBorder="1" applyAlignment="1" applyProtection="1">
      <alignment horizontal="right"/>
    </xf>
    <xf numFmtId="14" fontId="33" fillId="0" borderId="52" xfId="2" applyNumberFormat="1" applyFont="1" applyBorder="1" applyAlignment="1" applyProtection="1">
      <alignment horizontal="left"/>
    </xf>
    <xf numFmtId="0" fontId="29" fillId="0" borderId="0" xfId="6" applyFont="1" applyBorder="1" applyAlignment="1">
      <alignment horizontal="right" vertical="center"/>
    </xf>
    <xf numFmtId="0" fontId="15" fillId="0" borderId="0" xfId="6" applyFont="1" applyBorder="1" applyAlignment="1">
      <alignment horizontal="center" vertical="center"/>
    </xf>
    <xf numFmtId="0" fontId="29" fillId="0" borderId="0" xfId="6" applyFont="1" applyBorder="1" applyAlignment="1">
      <alignment vertical="center" wrapText="1"/>
    </xf>
    <xf numFmtId="0" fontId="27" fillId="0" borderId="0" xfId="6" applyFont="1" applyAlignment="1">
      <alignment horizontal="right" vertical="top"/>
    </xf>
    <xf numFmtId="0" fontId="32" fillId="0" borderId="0" xfId="2" quotePrefix="1" applyNumberFormat="1" applyFont="1" applyBorder="1" applyAlignment="1" applyProtection="1"/>
    <xf numFmtId="0" fontId="32" fillId="0" borderId="0" xfId="2" applyNumberFormat="1" applyFont="1" applyBorder="1" applyAlignment="1" applyProtection="1"/>
    <xf numFmtId="0" fontId="33" fillId="0" borderId="52" xfId="2" quotePrefix="1" applyNumberFormat="1" applyFont="1" applyBorder="1" applyAlignment="1" applyProtection="1">
      <alignment horizontal="left"/>
    </xf>
    <xf numFmtId="0" fontId="56" fillId="0" borderId="71" xfId="3" applyFont="1" applyFill="1" applyBorder="1" applyAlignment="1">
      <alignment horizontal="center" vertical="center"/>
    </xf>
    <xf numFmtId="0" fontId="56" fillId="0" borderId="65" xfId="3" applyFont="1" applyFill="1" applyBorder="1" applyAlignment="1">
      <alignment horizontal="center" vertical="center"/>
    </xf>
    <xf numFmtId="0" fontId="56" fillId="0" borderId="85" xfId="3" applyFont="1" applyFill="1" applyBorder="1" applyAlignment="1">
      <alignment horizontal="center" vertical="center"/>
    </xf>
    <xf numFmtId="0" fontId="55" fillId="0" borderId="107" xfId="3" applyFont="1" applyBorder="1" applyAlignment="1">
      <alignment horizontal="center" vertical="center" shrinkToFit="1"/>
    </xf>
    <xf numFmtId="0" fontId="55" fillId="0" borderId="109" xfId="3" applyFont="1" applyBorder="1" applyAlignment="1">
      <alignment horizontal="center" vertical="center" shrinkToFit="1"/>
    </xf>
    <xf numFmtId="0" fontId="55" fillId="0" borderId="114" xfId="3" applyFont="1" applyBorder="1" applyAlignment="1">
      <alignment horizontal="center" vertical="center" shrinkToFit="1"/>
    </xf>
    <xf numFmtId="0" fontId="51" fillId="0" borderId="78" xfId="3" applyFont="1" applyBorder="1" applyAlignment="1">
      <alignment horizontal="center" vertical="center"/>
    </xf>
    <xf numFmtId="0" fontId="52" fillId="0" borderId="78" xfId="3" applyFont="1" applyBorder="1" applyAlignment="1">
      <alignment horizontal="center" vertical="center" shrinkToFit="1"/>
    </xf>
    <xf numFmtId="0" fontId="54" fillId="0" borderId="88" xfId="3" applyFont="1" applyBorder="1" applyAlignment="1">
      <alignment horizontal="center" vertical="center"/>
    </xf>
    <xf numFmtId="0" fontId="54" fillId="0" borderId="80" xfId="3" applyFont="1" applyBorder="1" applyAlignment="1">
      <alignment horizontal="center" vertical="center"/>
    </xf>
    <xf numFmtId="0" fontId="50" fillId="0" borderId="64" xfId="3" applyFont="1" applyBorder="1" applyAlignment="1">
      <alignment vertical="center" shrinkToFit="1"/>
    </xf>
    <xf numFmtId="0" fontId="50" fillId="0" borderId="40" xfId="3" applyFont="1" applyBorder="1" applyAlignment="1">
      <alignment vertical="center" shrinkToFit="1"/>
    </xf>
    <xf numFmtId="0" fontId="52" fillId="0" borderId="63" xfId="3" applyFont="1" applyBorder="1" applyAlignment="1">
      <alignment horizontal="center" vertical="center" shrinkToFit="1"/>
    </xf>
    <xf numFmtId="0" fontId="52" fillId="0" borderId="41" xfId="3" applyFont="1" applyBorder="1" applyAlignment="1">
      <alignment horizontal="center" vertical="center" shrinkToFit="1"/>
    </xf>
    <xf numFmtId="0" fontId="55" fillId="0" borderId="92" xfId="3" applyFont="1" applyFill="1" applyBorder="1" applyAlignment="1">
      <alignment horizontal="center" vertical="center"/>
    </xf>
    <xf numFmtId="0" fontId="55" fillId="0" borderId="77" xfId="3" applyFont="1" applyFill="1" applyBorder="1" applyAlignment="1">
      <alignment horizontal="center" vertical="center"/>
    </xf>
    <xf numFmtId="0" fontId="55" fillId="0" borderId="97" xfId="3" applyFont="1" applyFill="1" applyBorder="1" applyAlignment="1">
      <alignment horizontal="center" vertical="center"/>
    </xf>
    <xf numFmtId="0" fontId="56" fillId="0" borderId="98" xfId="3" applyFont="1" applyFill="1" applyBorder="1" applyAlignment="1">
      <alignment horizontal="center" vertical="center"/>
    </xf>
    <xf numFmtId="0" fontId="53" fillId="0" borderId="89" xfId="3" applyFont="1" applyFill="1" applyBorder="1" applyAlignment="1">
      <alignment horizontal="center" vertical="center"/>
    </xf>
    <xf numFmtId="0" fontId="53" fillId="0" borderId="78" xfId="3" applyFont="1" applyFill="1" applyBorder="1" applyAlignment="1">
      <alignment horizontal="center" vertical="center"/>
    </xf>
    <xf numFmtId="0" fontId="53" fillId="0" borderId="82" xfId="3" applyFont="1" applyFill="1" applyBorder="1" applyAlignment="1">
      <alignment horizontal="center" vertical="center"/>
    </xf>
    <xf numFmtId="0" fontId="54" fillId="0" borderId="56" xfId="3" applyFont="1" applyFill="1" applyBorder="1" applyAlignment="1">
      <alignment horizontal="center" vertical="center"/>
    </xf>
    <xf numFmtId="0" fontId="54" fillId="0" borderId="61" xfId="3" applyFont="1" applyFill="1" applyBorder="1" applyAlignment="1">
      <alignment horizontal="center" vertical="center"/>
    </xf>
    <xf numFmtId="0" fontId="50" fillId="0" borderId="24" xfId="3" applyFont="1" applyBorder="1" applyAlignment="1">
      <alignment vertical="center" shrinkToFit="1"/>
    </xf>
    <xf numFmtId="0" fontId="50" fillId="0" borderId="23" xfId="3" applyFont="1" applyBorder="1" applyAlignment="1">
      <alignment vertical="center" shrinkToFit="1"/>
    </xf>
    <xf numFmtId="0" fontId="52" fillId="0" borderId="34" xfId="3" applyFont="1" applyBorder="1" applyAlignment="1">
      <alignment horizontal="center" vertical="center" shrinkToFit="1"/>
    </xf>
    <xf numFmtId="0" fontId="52" fillId="0" borderId="53" xfId="3" applyFont="1" applyBorder="1" applyAlignment="1">
      <alignment horizontal="center" vertical="center" shrinkToFit="1"/>
    </xf>
    <xf numFmtId="0" fontId="55" fillId="0" borderId="56" xfId="3" applyFont="1" applyBorder="1" applyAlignment="1">
      <alignment horizontal="center" vertical="center" shrinkToFit="1"/>
    </xf>
    <xf numFmtId="0" fontId="55" fillId="0" borderId="80" xfId="3" applyFont="1" applyBorder="1" applyAlignment="1">
      <alignment horizontal="center" vertical="center" shrinkToFit="1"/>
    </xf>
    <xf numFmtId="0" fontId="55" fillId="0" borderId="57" xfId="3" applyFont="1" applyBorder="1" applyAlignment="1">
      <alignment horizontal="center" vertical="center" shrinkToFit="1"/>
    </xf>
    <xf numFmtId="0" fontId="46" fillId="0" borderId="52" xfId="3" applyFont="1" applyBorder="1" applyAlignment="1">
      <alignment horizontal="left" vertical="center"/>
    </xf>
    <xf numFmtId="0" fontId="53" fillId="0" borderId="74" xfId="3" applyFont="1" applyFill="1" applyBorder="1" applyAlignment="1">
      <alignment horizontal="center" vertical="center"/>
    </xf>
    <xf numFmtId="0" fontId="55" fillId="0" borderId="56" xfId="3" applyFont="1" applyFill="1" applyBorder="1" applyAlignment="1">
      <alignment horizontal="center" vertical="center"/>
    </xf>
    <xf numFmtId="0" fontId="55" fillId="0" borderId="80" xfId="3" applyFont="1" applyFill="1" applyBorder="1" applyAlignment="1">
      <alignment horizontal="center" vertical="center"/>
    </xf>
    <xf numFmtId="0" fontId="55" fillId="0" borderId="57" xfId="3" applyFont="1" applyFill="1" applyBorder="1" applyAlignment="1">
      <alignment horizontal="center" vertical="center"/>
    </xf>
    <xf numFmtId="0" fontId="55" fillId="0" borderId="56" xfId="3" applyFont="1" applyFill="1" applyBorder="1" applyAlignment="1">
      <alignment horizontal="center" vertical="center" shrinkToFit="1"/>
    </xf>
    <xf numFmtId="0" fontId="55" fillId="0" borderId="80" xfId="3" applyFont="1" applyFill="1" applyBorder="1" applyAlignment="1">
      <alignment horizontal="center" vertical="center" shrinkToFit="1"/>
    </xf>
    <xf numFmtId="0" fontId="52" fillId="0" borderId="10" xfId="20" applyFont="1" applyFill="1" applyBorder="1" applyAlignment="1">
      <alignment vertical="center" shrinkToFit="1"/>
    </xf>
    <xf numFmtId="0" fontId="52" fillId="0" borderId="11" xfId="20" applyFont="1" applyFill="1" applyBorder="1" applyAlignment="1">
      <alignment vertical="center" shrinkToFit="1"/>
    </xf>
    <xf numFmtId="0" fontId="52" fillId="0" borderId="15" xfId="20" applyFont="1" applyFill="1" applyBorder="1" applyAlignment="1">
      <alignment vertical="center" shrinkToFit="1"/>
    </xf>
    <xf numFmtId="0" fontId="52" fillId="0" borderId="16" xfId="20" applyFont="1" applyFill="1" applyBorder="1" applyAlignment="1">
      <alignment vertical="center" shrinkToFit="1"/>
    </xf>
    <xf numFmtId="49" fontId="52" fillId="0" borderId="15" xfId="20" applyNumberFormat="1" applyFont="1" applyFill="1" applyBorder="1" applyAlignment="1">
      <alignment vertical="center" shrinkToFit="1"/>
    </xf>
    <xf numFmtId="49" fontId="52" fillId="0" borderId="16" xfId="20" applyNumberFormat="1" applyFont="1" applyFill="1" applyBorder="1" applyAlignment="1">
      <alignment vertical="center" shrinkToFit="1"/>
    </xf>
    <xf numFmtId="49" fontId="52" fillId="0" borderId="18" xfId="20" applyNumberFormat="1" applyFont="1" applyFill="1" applyBorder="1" applyAlignment="1">
      <alignment vertical="center" shrinkToFit="1"/>
    </xf>
    <xf numFmtId="49" fontId="52" fillId="0" borderId="10" xfId="20" applyNumberFormat="1" applyFont="1" applyFill="1" applyBorder="1" applyAlignment="1">
      <alignment vertical="center" shrinkToFit="1"/>
    </xf>
    <xf numFmtId="49" fontId="52" fillId="0" borderId="11" xfId="20" applyNumberFormat="1" applyFont="1" applyFill="1" applyBorder="1" applyAlignment="1">
      <alignment vertical="center" shrinkToFit="1"/>
    </xf>
    <xf numFmtId="0" fontId="52" fillId="0" borderId="5" xfId="20" applyFont="1" applyFill="1" applyBorder="1" applyAlignment="1">
      <alignment vertical="center" shrinkToFit="1"/>
    </xf>
    <xf numFmtId="0" fontId="52" fillId="0" borderId="6" xfId="20" applyFont="1" applyFill="1" applyBorder="1" applyAlignment="1">
      <alignment vertical="center" shrinkToFit="1"/>
    </xf>
    <xf numFmtId="0" fontId="52" fillId="0" borderId="24" xfId="20" applyFont="1" applyFill="1" applyBorder="1" applyAlignment="1">
      <alignment horizontal="left" vertical="center" shrinkToFit="1"/>
    </xf>
    <xf numFmtId="0" fontId="52" fillId="0" borderId="40" xfId="20" applyFont="1" applyFill="1" applyBorder="1" applyAlignment="1">
      <alignment horizontal="left" vertical="center" shrinkToFit="1"/>
    </xf>
    <xf numFmtId="0" fontId="52" fillId="0" borderId="55" xfId="20" applyFont="1" applyFill="1" applyBorder="1" applyAlignment="1">
      <alignment horizontal="left" vertical="center" shrinkToFit="1"/>
    </xf>
    <xf numFmtId="49" fontId="52" fillId="0" borderId="13" xfId="20" applyNumberFormat="1" applyFont="1" applyFill="1" applyBorder="1" applyAlignment="1">
      <alignment vertical="center" shrinkToFit="1"/>
    </xf>
    <xf numFmtId="0" fontId="33" fillId="0" borderId="10" xfId="20" applyFont="1" applyFill="1" applyBorder="1" applyAlignment="1">
      <alignment vertical="center" shrinkToFit="1"/>
    </xf>
    <xf numFmtId="0" fontId="33" fillId="0" borderId="13" xfId="20" applyFont="1" applyFill="1" applyBorder="1" applyAlignment="1">
      <alignment vertical="center" shrinkToFit="1"/>
    </xf>
    <xf numFmtId="0" fontId="33" fillId="0" borderId="15" xfId="20" applyFont="1" applyFill="1" applyBorder="1" applyAlignment="1">
      <alignment vertical="center" shrinkToFit="1"/>
    </xf>
    <xf numFmtId="0" fontId="33" fillId="0" borderId="18" xfId="20" applyFont="1" applyFill="1" applyBorder="1" applyAlignment="1">
      <alignment vertical="center" shrinkToFit="1"/>
    </xf>
    <xf numFmtId="49" fontId="52" fillId="0" borderId="5" xfId="20" applyNumberFormat="1" applyFont="1" applyFill="1" applyBorder="1" applyAlignment="1">
      <alignment vertical="center" shrinkToFit="1"/>
    </xf>
    <xf numFmtId="49" fontId="52" fillId="0" borderId="6" xfId="20" applyNumberFormat="1" applyFont="1" applyFill="1" applyBorder="1" applyAlignment="1">
      <alignment vertical="center" shrinkToFit="1"/>
    </xf>
    <xf numFmtId="49" fontId="52" fillId="0" borderId="8" xfId="20" applyNumberFormat="1" applyFont="1" applyFill="1" applyBorder="1" applyAlignment="1">
      <alignment vertical="center" shrinkToFit="1"/>
    </xf>
    <xf numFmtId="0" fontId="33" fillId="0" borderId="132" xfId="20" applyFont="1" applyFill="1" applyBorder="1" applyAlignment="1">
      <alignment vertical="center" shrinkToFit="1"/>
    </xf>
    <xf numFmtId="0" fontId="33" fillId="0" borderId="140" xfId="20" applyFont="1" applyFill="1" applyBorder="1" applyAlignment="1">
      <alignment vertical="center" shrinkToFit="1"/>
    </xf>
    <xf numFmtId="49" fontId="33" fillId="0" borderId="138" xfId="20" applyNumberFormat="1" applyFont="1" applyFill="1" applyBorder="1" applyAlignment="1">
      <alignment vertical="center" shrinkToFit="1"/>
    </xf>
    <xf numFmtId="49" fontId="33" fillId="0" borderId="141" xfId="20" applyNumberFormat="1" applyFont="1" applyFill="1" applyBorder="1" applyAlignment="1">
      <alignment vertical="center" shrinkToFit="1"/>
    </xf>
    <xf numFmtId="0" fontId="33" fillId="0" borderId="5" xfId="20" applyFont="1" applyFill="1" applyBorder="1" applyAlignment="1">
      <alignment vertical="center" shrinkToFit="1"/>
    </xf>
    <xf numFmtId="0" fontId="33" fillId="0" borderId="8" xfId="20" applyFont="1" applyFill="1" applyBorder="1" applyAlignment="1">
      <alignment vertical="center" shrinkToFit="1"/>
    </xf>
    <xf numFmtId="0" fontId="33" fillId="0" borderId="138" xfId="20" applyFont="1" applyFill="1" applyBorder="1" applyAlignment="1">
      <alignment vertical="center" shrinkToFit="1"/>
    </xf>
    <xf numFmtId="0" fontId="33" fillId="0" borderId="139" xfId="20" applyFont="1" applyFill="1" applyBorder="1" applyAlignment="1">
      <alignment vertical="center" shrinkToFit="1"/>
    </xf>
    <xf numFmtId="0" fontId="33" fillId="0" borderId="12" xfId="20" applyFont="1" applyFill="1" applyBorder="1" applyAlignment="1">
      <alignment vertical="center" shrinkToFit="1"/>
    </xf>
    <xf numFmtId="0" fontId="33" fillId="0" borderId="10" xfId="20" applyFont="1" applyFill="1" applyBorder="1" applyAlignment="1">
      <alignment vertical="center"/>
    </xf>
    <xf numFmtId="0" fontId="33" fillId="0" borderId="12" xfId="20" applyFont="1" applyFill="1" applyBorder="1" applyAlignment="1">
      <alignment vertical="center"/>
    </xf>
    <xf numFmtId="0" fontId="33" fillId="0" borderId="15" xfId="20" applyFont="1" applyFill="1" applyBorder="1" applyAlignment="1">
      <alignment vertical="center"/>
    </xf>
    <xf numFmtId="0" fontId="33" fillId="0" borderId="17" xfId="20" applyFont="1" applyFill="1" applyBorder="1" applyAlignment="1">
      <alignment vertical="center"/>
    </xf>
    <xf numFmtId="0" fontId="33" fillId="0" borderId="133" xfId="20" applyFont="1" applyFill="1" applyBorder="1" applyAlignment="1">
      <alignment vertical="center" shrinkToFit="1"/>
    </xf>
    <xf numFmtId="0" fontId="52" fillId="0" borderId="63" xfId="20" applyFont="1" applyFill="1" applyBorder="1" applyAlignment="1">
      <alignment vertical="center" shrinkToFit="1"/>
    </xf>
    <xf numFmtId="0" fontId="52" fillId="0" borderId="69" xfId="20" applyFont="1" applyFill="1" applyBorder="1" applyAlignment="1">
      <alignment vertical="center" shrinkToFit="1"/>
    </xf>
    <xf numFmtId="0" fontId="33" fillId="0" borderId="1" xfId="20" applyFont="1" applyFill="1" applyBorder="1" applyAlignment="1">
      <alignment horizontal="center" vertical="center"/>
    </xf>
    <xf numFmtId="0" fontId="33" fillId="0" borderId="22" xfId="20" applyFont="1" applyFill="1" applyBorder="1" applyAlignment="1">
      <alignment horizontal="center" vertical="center"/>
    </xf>
    <xf numFmtId="0" fontId="33" fillId="0" borderId="7" xfId="20" applyFont="1" applyFill="1" applyBorder="1" applyAlignment="1">
      <alignment vertical="center" shrinkToFit="1"/>
    </xf>
  </cellXfs>
  <cellStyles count="21">
    <cellStyle name="ハイパーリンク" xfId="1" builtinId="8"/>
    <cellStyle name="ハイパーリンク 2" xfId="17"/>
    <cellStyle name="桁区切り" xfId="9" builtinId="6"/>
    <cellStyle name="桁区切り 2" xfId="5"/>
    <cellStyle name="桁区切り 2 2" xfId="15"/>
    <cellStyle name="桁区切り 3" xfId="8"/>
    <cellStyle name="桁区切り 4" xfId="18"/>
    <cellStyle name="桁区切り 5" xfId="19"/>
    <cellStyle name="通貨 2" xfId="11"/>
    <cellStyle name="標準" xfId="0" builtinId="0"/>
    <cellStyle name="標準 2" xfId="12"/>
    <cellStyle name="標準 3 3" xfId="4"/>
    <cellStyle name="標準 4" xfId="10"/>
    <cellStyle name="標準 5" xfId="3"/>
    <cellStyle name="標準 5 2" xfId="2"/>
    <cellStyle name="標準 5 2 2" xfId="7"/>
    <cellStyle name="標準 5 2 2 2" xfId="14"/>
    <cellStyle name="標準 5 2 2 3" xfId="13"/>
    <cellStyle name="標準 8" xfId="16"/>
    <cellStyle name="標準 9" xfId="6"/>
    <cellStyle name="標準_H17申請様式（コンサル12.10改）" xfId="20"/>
  </cellStyles>
  <dxfs count="74">
    <dxf>
      <fill>
        <patternFill>
          <bgColor rgb="FFFFE1FF"/>
        </patternFill>
      </fill>
    </dxf>
    <dxf>
      <fill>
        <patternFill>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FFE1FF"/>
      <color rgb="FFC0C0C0"/>
      <color rgb="FFA6A6A6"/>
      <color rgb="FFCCEDFC"/>
      <color rgb="FFE2EFDA"/>
      <color rgb="FFFF0000"/>
      <color rgb="FFEEAAFC"/>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50</xdr:col>
      <xdr:colOff>69747</xdr:colOff>
      <xdr:row>51</xdr:row>
      <xdr:rowOff>85892</xdr:rowOff>
    </xdr:from>
    <xdr:to>
      <xdr:col>52</xdr:col>
      <xdr:colOff>111485</xdr:colOff>
      <xdr:row>53</xdr:row>
      <xdr:rowOff>37234</xdr:rowOff>
    </xdr:to>
    <xdr:sp macro="" textlink="">
      <xdr:nvSpPr>
        <xdr:cNvPr id="2" name="テキスト ボックス 1">
          <a:extLst>
            <a:ext uri="{FF2B5EF4-FFF2-40B4-BE49-F238E27FC236}">
              <a16:creationId xmlns:a16="http://schemas.microsoft.com/office/drawing/2014/main" xmlns="" id="{5FD5673C-C32E-444A-9AEB-61ABCFFD0D6F}"/>
            </a:ext>
          </a:extLst>
        </xdr:cNvPr>
        <xdr:cNvSpPr txBox="1">
          <a:spLocks noChangeAspect="1"/>
        </xdr:cNvSpPr>
      </xdr:nvSpPr>
      <xdr:spPr>
        <a:xfrm>
          <a:off x="6260997" y="8372642"/>
          <a:ext cx="289388" cy="23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印</a:t>
          </a:r>
        </a:p>
      </xdr:txBody>
    </xdr:sp>
    <xdr:clientData/>
  </xdr:twoCellAnchor>
  <xdr:twoCellAnchor editAs="oneCell">
    <xdr:from>
      <xdr:col>50</xdr:col>
      <xdr:colOff>16241</xdr:colOff>
      <xdr:row>15</xdr:row>
      <xdr:rowOff>81995</xdr:rowOff>
    </xdr:from>
    <xdr:to>
      <xdr:col>52</xdr:col>
      <xdr:colOff>60361</xdr:colOff>
      <xdr:row>17</xdr:row>
      <xdr:rowOff>18828</xdr:rowOff>
    </xdr:to>
    <xdr:sp macro="" textlink="">
      <xdr:nvSpPr>
        <xdr:cNvPr id="3" name="テキスト ボックス 2">
          <a:extLst>
            <a:ext uri="{FF2B5EF4-FFF2-40B4-BE49-F238E27FC236}">
              <a16:creationId xmlns:a16="http://schemas.microsoft.com/office/drawing/2014/main" xmlns="" id="{26D6D1E9-1666-474D-ADE5-A4A228CBF1D6}"/>
            </a:ext>
          </a:extLst>
        </xdr:cNvPr>
        <xdr:cNvSpPr txBox="1">
          <a:spLocks noChangeAspect="1"/>
        </xdr:cNvSpPr>
      </xdr:nvSpPr>
      <xdr:spPr>
        <a:xfrm>
          <a:off x="6207491" y="2863295"/>
          <a:ext cx="291770" cy="222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9"/>
  <sheetViews>
    <sheetView workbookViewId="0"/>
  </sheetViews>
  <sheetFormatPr defaultRowHeight="11.25"/>
  <cols>
    <col min="1" max="1" width="10.25" style="2" customWidth="1"/>
    <col min="2" max="2" width="9" style="2"/>
    <col min="3" max="3" width="7.5" style="3" bestFit="1" customWidth="1"/>
    <col min="4" max="16384" width="9" style="2"/>
  </cols>
  <sheetData>
    <row r="1" spans="1:4">
      <c r="A1" s="2" t="s">
        <v>15</v>
      </c>
      <c r="C1" s="6" t="str">
        <f ca="1">IF(D2&gt;=0, OFFSET($C$2, D2, 0,1,1), "")</f>
        <v/>
      </c>
      <c r="D1" s="7" t="e">
        <f>LEFT(許可番号,2)</f>
        <v>#NAME?</v>
      </c>
    </row>
    <row r="2" spans="1:4">
      <c r="A2" s="2" t="str">
        <f>P地区1</f>
        <v>市内</v>
      </c>
      <c r="C2" s="4" t="s">
        <v>16</v>
      </c>
      <c r="D2" s="7">
        <f>IF(ISERROR(D1+0), -1, D1+0)</f>
        <v>-1</v>
      </c>
    </row>
    <row r="3" spans="1:4">
      <c r="A3" s="2" t="s">
        <v>64</v>
      </c>
      <c r="C3" s="4" t="s">
        <v>17</v>
      </c>
    </row>
    <row r="4" spans="1:4">
      <c r="A4" s="2" t="s">
        <v>65</v>
      </c>
      <c r="C4" s="4" t="s">
        <v>18</v>
      </c>
    </row>
    <row r="5" spans="1:4">
      <c r="A5" s="2" t="e">
        <f>P地区4</f>
        <v>#NAME?</v>
      </c>
      <c r="C5" s="4" t="s">
        <v>19</v>
      </c>
    </row>
    <row r="6" spans="1:4">
      <c r="C6" s="4" t="s">
        <v>20</v>
      </c>
    </row>
    <row r="7" spans="1:4">
      <c r="C7" s="4" t="s">
        <v>21</v>
      </c>
    </row>
    <row r="8" spans="1:4">
      <c r="C8" s="4" t="s">
        <v>22</v>
      </c>
    </row>
    <row r="9" spans="1:4">
      <c r="C9" s="4" t="s">
        <v>23</v>
      </c>
    </row>
    <row r="10" spans="1:4">
      <c r="C10" s="4" t="s">
        <v>24</v>
      </c>
    </row>
    <row r="11" spans="1:4">
      <c r="C11" s="4" t="s">
        <v>25</v>
      </c>
    </row>
    <row r="12" spans="1:4">
      <c r="C12" s="4" t="s">
        <v>26</v>
      </c>
    </row>
    <row r="13" spans="1:4">
      <c r="C13" s="4" t="s">
        <v>27</v>
      </c>
    </row>
    <row r="14" spans="1:4">
      <c r="C14" s="4" t="s">
        <v>28</v>
      </c>
    </row>
    <row r="15" spans="1:4">
      <c r="C15" s="4" t="s">
        <v>29</v>
      </c>
    </row>
    <row r="16" spans="1:4">
      <c r="C16" s="4" t="s">
        <v>30</v>
      </c>
    </row>
    <row r="17" spans="3:3">
      <c r="C17" s="4" t="s">
        <v>31</v>
      </c>
    </row>
    <row r="18" spans="3:3">
      <c r="C18" s="4" t="s">
        <v>32</v>
      </c>
    </row>
    <row r="19" spans="3:3">
      <c r="C19" s="4" t="s">
        <v>33</v>
      </c>
    </row>
    <row r="20" spans="3:3">
      <c r="C20" s="4" t="s">
        <v>34</v>
      </c>
    </row>
    <row r="21" spans="3:3">
      <c r="C21" s="4" t="s">
        <v>35</v>
      </c>
    </row>
    <row r="22" spans="3:3">
      <c r="C22" s="4" t="s">
        <v>36</v>
      </c>
    </row>
    <row r="23" spans="3:3">
      <c r="C23" s="4" t="s">
        <v>37</v>
      </c>
    </row>
    <row r="24" spans="3:3">
      <c r="C24" s="4" t="s">
        <v>38</v>
      </c>
    </row>
    <row r="25" spans="3:3">
      <c r="C25" s="4" t="s">
        <v>39</v>
      </c>
    </row>
    <row r="26" spans="3:3">
      <c r="C26" s="4" t="s">
        <v>40</v>
      </c>
    </row>
    <row r="27" spans="3:3">
      <c r="C27" s="4" t="s">
        <v>41</v>
      </c>
    </row>
    <row r="28" spans="3:3">
      <c r="C28" s="4" t="s">
        <v>42</v>
      </c>
    </row>
    <row r="29" spans="3:3">
      <c r="C29" s="4" t="s">
        <v>43</v>
      </c>
    </row>
    <row r="30" spans="3:3">
      <c r="C30" s="4" t="s">
        <v>44</v>
      </c>
    </row>
    <row r="31" spans="3:3">
      <c r="C31" s="4" t="s">
        <v>45</v>
      </c>
    </row>
    <row r="32" spans="3:3">
      <c r="C32" s="4" t="s">
        <v>46</v>
      </c>
    </row>
    <row r="33" spans="3:3">
      <c r="C33" s="4" t="s">
        <v>47</v>
      </c>
    </row>
    <row r="34" spans="3:3">
      <c r="C34" s="4" t="s">
        <v>48</v>
      </c>
    </row>
    <row r="35" spans="3:3">
      <c r="C35" s="4" t="s">
        <v>49</v>
      </c>
    </row>
    <row r="36" spans="3:3">
      <c r="C36" s="4" t="s">
        <v>50</v>
      </c>
    </row>
    <row r="37" spans="3:3">
      <c r="C37" s="4" t="s">
        <v>51</v>
      </c>
    </row>
    <row r="38" spans="3:3">
      <c r="C38" s="4" t="s">
        <v>52</v>
      </c>
    </row>
    <row r="39" spans="3:3">
      <c r="C39" s="4" t="s">
        <v>53</v>
      </c>
    </row>
    <row r="40" spans="3:3">
      <c r="C40" s="4" t="s">
        <v>54</v>
      </c>
    </row>
    <row r="41" spans="3:3">
      <c r="C41" s="4" t="s">
        <v>55</v>
      </c>
    </row>
    <row r="42" spans="3:3">
      <c r="C42" s="4" t="s">
        <v>56</v>
      </c>
    </row>
    <row r="43" spans="3:3">
      <c r="C43" s="4" t="s">
        <v>57</v>
      </c>
    </row>
    <row r="44" spans="3:3">
      <c r="C44" s="4" t="s">
        <v>58</v>
      </c>
    </row>
    <row r="45" spans="3:3">
      <c r="C45" s="4" t="s">
        <v>59</v>
      </c>
    </row>
    <row r="46" spans="3:3">
      <c r="C46" s="4" t="s">
        <v>60</v>
      </c>
    </row>
    <row r="47" spans="3:3">
      <c r="C47" s="4" t="s">
        <v>61</v>
      </c>
    </row>
    <row r="48" spans="3:3">
      <c r="C48" s="4" t="s">
        <v>62</v>
      </c>
    </row>
    <row r="49" spans="3:3">
      <c r="C49" s="4" t="s">
        <v>63</v>
      </c>
    </row>
  </sheetData>
  <sheetProtection algorithmName="SHA-512" hashValue="+ZQ7P+3X6MrXH4Lfs6tFoih7ugE6a0MyySPSVlUcJyoZ3NgFjCam6/sUi99T6vnFT/h1XZsidCJZOGmiK+dBaA==" saltValue="Y309jf2SIyjBMV1tMNRmdA==" spinCount="100000" sheet="1" objects="1" scenarios="1"/>
  <dataConsolidate/>
  <phoneticPr fontId="5"/>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E1FF"/>
    <outlinePr summaryBelow="0"/>
    <pageSetUpPr fitToPage="1"/>
  </sheetPr>
  <dimension ref="A1:Y307"/>
  <sheetViews>
    <sheetView showGridLines="0" topLeftCell="B1" zoomScaleNormal="100" workbookViewId="0">
      <selection activeCell="B1" sqref="B1"/>
    </sheetView>
  </sheetViews>
  <sheetFormatPr defaultRowHeight="13.5"/>
  <cols>
    <col min="1" max="1" width="5.5" style="33" hidden="1" customWidth="1"/>
    <col min="2" max="3" width="1.625" style="33" customWidth="1"/>
    <col min="4" max="4" width="4.625" style="33" customWidth="1"/>
    <col min="5" max="8" width="6.625" style="33" customWidth="1"/>
    <col min="9" max="12" width="3.625" style="33" customWidth="1"/>
    <col min="13" max="23" width="6.625" style="33" customWidth="1"/>
    <col min="24" max="25" width="3.625" style="33" customWidth="1"/>
    <col min="26" max="215" width="9" style="1"/>
    <col min="216" max="216" width="2.125" style="1" customWidth="1"/>
    <col min="217" max="217" width="5.125" style="1" customWidth="1"/>
    <col min="218" max="218" width="40.875" style="1" customWidth="1"/>
    <col min="219" max="274" width="2.125" style="1" customWidth="1"/>
    <col min="275" max="471" width="9" style="1"/>
    <col min="472" max="472" width="2.125" style="1" customWidth="1"/>
    <col min="473" max="473" width="5.125" style="1" customWidth="1"/>
    <col min="474" max="474" width="40.875" style="1" customWidth="1"/>
    <col min="475" max="530" width="2.125" style="1" customWidth="1"/>
    <col min="531" max="727" width="9" style="1"/>
    <col min="728" max="728" width="2.125" style="1" customWidth="1"/>
    <col min="729" max="729" width="5.125" style="1" customWidth="1"/>
    <col min="730" max="730" width="40.875" style="1" customWidth="1"/>
    <col min="731" max="786" width="2.125" style="1" customWidth="1"/>
    <col min="787" max="983" width="9" style="1"/>
    <col min="984" max="984" width="2.125" style="1" customWidth="1"/>
    <col min="985" max="985" width="5.125" style="1" customWidth="1"/>
    <col min="986" max="986" width="40.875" style="1" customWidth="1"/>
    <col min="987" max="1042" width="2.125" style="1" customWidth="1"/>
    <col min="1043" max="1239" width="9" style="1"/>
    <col min="1240" max="1240" width="2.125" style="1" customWidth="1"/>
    <col min="1241" max="1241" width="5.125" style="1" customWidth="1"/>
    <col min="1242" max="1242" width="40.875" style="1" customWidth="1"/>
    <col min="1243" max="1298" width="2.125" style="1" customWidth="1"/>
    <col min="1299" max="1495" width="9" style="1"/>
    <col min="1496" max="1496" width="2.125" style="1" customWidth="1"/>
    <col min="1497" max="1497" width="5.125" style="1" customWidth="1"/>
    <col min="1498" max="1498" width="40.875" style="1" customWidth="1"/>
    <col min="1499" max="1554" width="2.125" style="1" customWidth="1"/>
    <col min="1555" max="1751" width="9" style="1"/>
    <col min="1752" max="1752" width="2.125" style="1" customWidth="1"/>
    <col min="1753" max="1753" width="5.125" style="1" customWidth="1"/>
    <col min="1754" max="1754" width="40.875" style="1" customWidth="1"/>
    <col min="1755" max="1810" width="2.125" style="1" customWidth="1"/>
    <col min="1811" max="2007" width="9" style="1"/>
    <col min="2008" max="2008" width="2.125" style="1" customWidth="1"/>
    <col min="2009" max="2009" width="5.125" style="1" customWidth="1"/>
    <col min="2010" max="2010" width="40.875" style="1" customWidth="1"/>
    <col min="2011" max="2066" width="2.125" style="1" customWidth="1"/>
    <col min="2067" max="2263" width="9" style="1"/>
    <col min="2264" max="2264" width="2.125" style="1" customWidth="1"/>
    <col min="2265" max="2265" width="5.125" style="1" customWidth="1"/>
    <col min="2266" max="2266" width="40.875" style="1" customWidth="1"/>
    <col min="2267" max="2322" width="2.125" style="1" customWidth="1"/>
    <col min="2323" max="2519" width="9" style="1"/>
    <col min="2520" max="2520" width="2.125" style="1" customWidth="1"/>
    <col min="2521" max="2521" width="5.125" style="1" customWidth="1"/>
    <col min="2522" max="2522" width="40.875" style="1" customWidth="1"/>
    <col min="2523" max="2578" width="2.125" style="1" customWidth="1"/>
    <col min="2579" max="2775" width="9" style="1"/>
    <col min="2776" max="2776" width="2.125" style="1" customWidth="1"/>
    <col min="2777" max="2777" width="5.125" style="1" customWidth="1"/>
    <col min="2778" max="2778" width="40.875" style="1" customWidth="1"/>
    <col min="2779" max="2834" width="2.125" style="1" customWidth="1"/>
    <col min="2835" max="3031" width="9" style="1"/>
    <col min="3032" max="3032" width="2.125" style="1" customWidth="1"/>
    <col min="3033" max="3033" width="5.125" style="1" customWidth="1"/>
    <col min="3034" max="3034" width="40.875" style="1" customWidth="1"/>
    <col min="3035" max="3090" width="2.125" style="1" customWidth="1"/>
    <col min="3091" max="3287" width="9" style="1"/>
    <col min="3288" max="3288" width="2.125" style="1" customWidth="1"/>
    <col min="3289" max="3289" width="5.125" style="1" customWidth="1"/>
    <col min="3290" max="3290" width="40.875" style="1" customWidth="1"/>
    <col min="3291" max="3346" width="2.125" style="1" customWidth="1"/>
    <col min="3347" max="3543" width="9" style="1"/>
    <col min="3544" max="3544" width="2.125" style="1" customWidth="1"/>
    <col min="3545" max="3545" width="5.125" style="1" customWidth="1"/>
    <col min="3546" max="3546" width="40.875" style="1" customWidth="1"/>
    <col min="3547" max="3602" width="2.125" style="1" customWidth="1"/>
    <col min="3603" max="3799" width="9" style="1"/>
    <col min="3800" max="3800" width="2.125" style="1" customWidth="1"/>
    <col min="3801" max="3801" width="5.125" style="1" customWidth="1"/>
    <col min="3802" max="3802" width="40.875" style="1" customWidth="1"/>
    <col min="3803" max="3858" width="2.125" style="1" customWidth="1"/>
    <col min="3859" max="4055" width="9" style="1"/>
    <col min="4056" max="4056" width="2.125" style="1" customWidth="1"/>
    <col min="4057" max="4057" width="5.125" style="1" customWidth="1"/>
    <col min="4058" max="4058" width="40.875" style="1" customWidth="1"/>
    <col min="4059" max="4114" width="2.125" style="1" customWidth="1"/>
    <col min="4115" max="4311" width="9" style="1"/>
    <col min="4312" max="4312" width="2.125" style="1" customWidth="1"/>
    <col min="4313" max="4313" width="5.125" style="1" customWidth="1"/>
    <col min="4314" max="4314" width="40.875" style="1" customWidth="1"/>
    <col min="4315" max="4370" width="2.125" style="1" customWidth="1"/>
    <col min="4371" max="4567" width="9" style="1"/>
    <col min="4568" max="4568" width="2.125" style="1" customWidth="1"/>
    <col min="4569" max="4569" width="5.125" style="1" customWidth="1"/>
    <col min="4570" max="4570" width="40.875" style="1" customWidth="1"/>
    <col min="4571" max="4626" width="2.125" style="1" customWidth="1"/>
    <col min="4627" max="4823" width="9" style="1"/>
    <col min="4824" max="4824" width="2.125" style="1" customWidth="1"/>
    <col min="4825" max="4825" width="5.125" style="1" customWidth="1"/>
    <col min="4826" max="4826" width="40.875" style="1" customWidth="1"/>
    <col min="4827" max="4882" width="2.125" style="1" customWidth="1"/>
    <col min="4883" max="5079" width="9" style="1"/>
    <col min="5080" max="5080" width="2.125" style="1" customWidth="1"/>
    <col min="5081" max="5081" width="5.125" style="1" customWidth="1"/>
    <col min="5082" max="5082" width="40.875" style="1" customWidth="1"/>
    <col min="5083" max="5138" width="2.125" style="1" customWidth="1"/>
    <col min="5139" max="5335" width="9" style="1"/>
    <col min="5336" max="5336" width="2.125" style="1" customWidth="1"/>
    <col min="5337" max="5337" width="5.125" style="1" customWidth="1"/>
    <col min="5338" max="5338" width="40.875" style="1" customWidth="1"/>
    <col min="5339" max="5394" width="2.125" style="1" customWidth="1"/>
    <col min="5395" max="5591" width="9" style="1"/>
    <col min="5592" max="5592" width="2.125" style="1" customWidth="1"/>
    <col min="5593" max="5593" width="5.125" style="1" customWidth="1"/>
    <col min="5594" max="5594" width="40.875" style="1" customWidth="1"/>
    <col min="5595" max="5650" width="2.125" style="1" customWidth="1"/>
    <col min="5651" max="5847" width="9" style="1"/>
    <col min="5848" max="5848" width="2.125" style="1" customWidth="1"/>
    <col min="5849" max="5849" width="5.125" style="1" customWidth="1"/>
    <col min="5850" max="5850" width="40.875" style="1" customWidth="1"/>
    <col min="5851" max="5906" width="2.125" style="1" customWidth="1"/>
    <col min="5907" max="6103" width="9" style="1"/>
    <col min="6104" max="6104" width="2.125" style="1" customWidth="1"/>
    <col min="6105" max="6105" width="5.125" style="1" customWidth="1"/>
    <col min="6106" max="6106" width="40.875" style="1" customWidth="1"/>
    <col min="6107" max="6162" width="2.125" style="1" customWidth="1"/>
    <col min="6163" max="6359" width="9" style="1"/>
    <col min="6360" max="6360" width="2.125" style="1" customWidth="1"/>
    <col min="6361" max="6361" width="5.125" style="1" customWidth="1"/>
    <col min="6362" max="6362" width="40.875" style="1" customWidth="1"/>
    <col min="6363" max="6418" width="2.125" style="1" customWidth="1"/>
    <col min="6419" max="6615" width="9" style="1"/>
    <col min="6616" max="6616" width="2.125" style="1" customWidth="1"/>
    <col min="6617" max="6617" width="5.125" style="1" customWidth="1"/>
    <col min="6618" max="6618" width="40.875" style="1" customWidth="1"/>
    <col min="6619" max="6674" width="2.125" style="1" customWidth="1"/>
    <col min="6675" max="6871" width="9" style="1"/>
    <col min="6872" max="6872" width="2.125" style="1" customWidth="1"/>
    <col min="6873" max="6873" width="5.125" style="1" customWidth="1"/>
    <col min="6874" max="6874" width="40.875" style="1" customWidth="1"/>
    <col min="6875" max="6930" width="2.125" style="1" customWidth="1"/>
    <col min="6931" max="7127" width="9" style="1"/>
    <col min="7128" max="7128" width="2.125" style="1" customWidth="1"/>
    <col min="7129" max="7129" width="5.125" style="1" customWidth="1"/>
    <col min="7130" max="7130" width="40.875" style="1" customWidth="1"/>
    <col min="7131" max="7186" width="2.125" style="1" customWidth="1"/>
    <col min="7187" max="7383" width="9" style="1"/>
    <col min="7384" max="7384" width="2.125" style="1" customWidth="1"/>
    <col min="7385" max="7385" width="5.125" style="1" customWidth="1"/>
    <col min="7386" max="7386" width="40.875" style="1" customWidth="1"/>
    <col min="7387" max="7442" width="2.125" style="1" customWidth="1"/>
    <col min="7443" max="7639" width="9" style="1"/>
    <col min="7640" max="7640" width="2.125" style="1" customWidth="1"/>
    <col min="7641" max="7641" width="5.125" style="1" customWidth="1"/>
    <col min="7642" max="7642" width="40.875" style="1" customWidth="1"/>
    <col min="7643" max="7698" width="2.125" style="1" customWidth="1"/>
    <col min="7699" max="7895" width="9" style="1"/>
    <col min="7896" max="7896" width="2.125" style="1" customWidth="1"/>
    <col min="7897" max="7897" width="5.125" style="1" customWidth="1"/>
    <col min="7898" max="7898" width="40.875" style="1" customWidth="1"/>
    <col min="7899" max="7954" width="2.125" style="1" customWidth="1"/>
    <col min="7955" max="8151" width="9" style="1"/>
    <col min="8152" max="8152" width="2.125" style="1" customWidth="1"/>
    <col min="8153" max="8153" width="5.125" style="1" customWidth="1"/>
    <col min="8154" max="8154" width="40.875" style="1" customWidth="1"/>
    <col min="8155" max="8210" width="2.125" style="1" customWidth="1"/>
    <col min="8211" max="8407" width="9" style="1"/>
    <col min="8408" max="8408" width="2.125" style="1" customWidth="1"/>
    <col min="8409" max="8409" width="5.125" style="1" customWidth="1"/>
    <col min="8410" max="8410" width="40.875" style="1" customWidth="1"/>
    <col min="8411" max="8466" width="2.125" style="1" customWidth="1"/>
    <col min="8467" max="8663" width="9" style="1"/>
    <col min="8664" max="8664" width="2.125" style="1" customWidth="1"/>
    <col min="8665" max="8665" width="5.125" style="1" customWidth="1"/>
    <col min="8666" max="8666" width="40.875" style="1" customWidth="1"/>
    <col min="8667" max="8722" width="2.125" style="1" customWidth="1"/>
    <col min="8723" max="8919" width="9" style="1"/>
    <col min="8920" max="8920" width="2.125" style="1" customWidth="1"/>
    <col min="8921" max="8921" width="5.125" style="1" customWidth="1"/>
    <col min="8922" max="8922" width="40.875" style="1" customWidth="1"/>
    <col min="8923" max="8978" width="2.125" style="1" customWidth="1"/>
    <col min="8979" max="9175" width="9" style="1"/>
    <col min="9176" max="9176" width="2.125" style="1" customWidth="1"/>
    <col min="9177" max="9177" width="5.125" style="1" customWidth="1"/>
    <col min="9178" max="9178" width="40.875" style="1" customWidth="1"/>
    <col min="9179" max="9234" width="2.125" style="1" customWidth="1"/>
    <col min="9235" max="9431" width="9" style="1"/>
    <col min="9432" max="9432" width="2.125" style="1" customWidth="1"/>
    <col min="9433" max="9433" width="5.125" style="1" customWidth="1"/>
    <col min="9434" max="9434" width="40.875" style="1" customWidth="1"/>
    <col min="9435" max="9490" width="2.125" style="1" customWidth="1"/>
    <col min="9491" max="9687" width="9" style="1"/>
    <col min="9688" max="9688" width="2.125" style="1" customWidth="1"/>
    <col min="9689" max="9689" width="5.125" style="1" customWidth="1"/>
    <col min="9690" max="9690" width="40.875" style="1" customWidth="1"/>
    <col min="9691" max="9746" width="2.125" style="1" customWidth="1"/>
    <col min="9747" max="9943" width="9" style="1"/>
    <col min="9944" max="9944" width="2.125" style="1" customWidth="1"/>
    <col min="9945" max="9945" width="5.125" style="1" customWidth="1"/>
    <col min="9946" max="9946" width="40.875" style="1" customWidth="1"/>
    <col min="9947" max="10002" width="2.125" style="1" customWidth="1"/>
    <col min="10003" max="10199" width="9" style="1"/>
    <col min="10200" max="10200" width="2.125" style="1" customWidth="1"/>
    <col min="10201" max="10201" width="5.125" style="1" customWidth="1"/>
    <col min="10202" max="10202" width="40.875" style="1" customWidth="1"/>
    <col min="10203" max="10258" width="2.125" style="1" customWidth="1"/>
    <col min="10259" max="10455" width="9" style="1"/>
    <col min="10456" max="10456" width="2.125" style="1" customWidth="1"/>
    <col min="10457" max="10457" width="5.125" style="1" customWidth="1"/>
    <col min="10458" max="10458" width="40.875" style="1" customWidth="1"/>
    <col min="10459" max="10514" width="2.125" style="1" customWidth="1"/>
    <col min="10515" max="10711" width="9" style="1"/>
    <col min="10712" max="10712" width="2.125" style="1" customWidth="1"/>
    <col min="10713" max="10713" width="5.125" style="1" customWidth="1"/>
    <col min="10714" max="10714" width="40.875" style="1" customWidth="1"/>
    <col min="10715" max="10770" width="2.125" style="1" customWidth="1"/>
    <col min="10771" max="10967" width="9" style="1"/>
    <col min="10968" max="10968" width="2.125" style="1" customWidth="1"/>
    <col min="10969" max="10969" width="5.125" style="1" customWidth="1"/>
    <col min="10970" max="10970" width="40.875" style="1" customWidth="1"/>
    <col min="10971" max="11026" width="2.125" style="1" customWidth="1"/>
    <col min="11027" max="11223" width="9" style="1"/>
    <col min="11224" max="11224" width="2.125" style="1" customWidth="1"/>
    <col min="11225" max="11225" width="5.125" style="1" customWidth="1"/>
    <col min="11226" max="11226" width="40.875" style="1" customWidth="1"/>
    <col min="11227" max="11282" width="2.125" style="1" customWidth="1"/>
    <col min="11283" max="11479" width="9" style="1"/>
    <col min="11480" max="11480" width="2.125" style="1" customWidth="1"/>
    <col min="11481" max="11481" width="5.125" style="1" customWidth="1"/>
    <col min="11482" max="11482" width="40.875" style="1" customWidth="1"/>
    <col min="11483" max="11538" width="2.125" style="1" customWidth="1"/>
    <col min="11539" max="11735" width="9" style="1"/>
    <col min="11736" max="11736" width="2.125" style="1" customWidth="1"/>
    <col min="11737" max="11737" width="5.125" style="1" customWidth="1"/>
    <col min="11738" max="11738" width="40.875" style="1" customWidth="1"/>
    <col min="11739" max="11794" width="2.125" style="1" customWidth="1"/>
    <col min="11795" max="11991" width="9" style="1"/>
    <col min="11992" max="11992" width="2.125" style="1" customWidth="1"/>
    <col min="11993" max="11993" width="5.125" style="1" customWidth="1"/>
    <col min="11994" max="11994" width="40.875" style="1" customWidth="1"/>
    <col min="11995" max="12050" width="2.125" style="1" customWidth="1"/>
    <col min="12051" max="12247" width="9" style="1"/>
    <col min="12248" max="12248" width="2.125" style="1" customWidth="1"/>
    <col min="12249" max="12249" width="5.125" style="1" customWidth="1"/>
    <col min="12250" max="12250" width="40.875" style="1" customWidth="1"/>
    <col min="12251" max="12306" width="2.125" style="1" customWidth="1"/>
    <col min="12307" max="12503" width="9" style="1"/>
    <col min="12504" max="12504" width="2.125" style="1" customWidth="1"/>
    <col min="12505" max="12505" width="5.125" style="1" customWidth="1"/>
    <col min="12506" max="12506" width="40.875" style="1" customWidth="1"/>
    <col min="12507" max="12562" width="2.125" style="1" customWidth="1"/>
    <col min="12563" max="12759" width="9" style="1"/>
    <col min="12760" max="12760" width="2.125" style="1" customWidth="1"/>
    <col min="12761" max="12761" width="5.125" style="1" customWidth="1"/>
    <col min="12762" max="12762" width="40.875" style="1" customWidth="1"/>
    <col min="12763" max="12818" width="2.125" style="1" customWidth="1"/>
    <col min="12819" max="13015" width="9" style="1"/>
    <col min="13016" max="13016" width="2.125" style="1" customWidth="1"/>
    <col min="13017" max="13017" width="5.125" style="1" customWidth="1"/>
    <col min="13018" max="13018" width="40.875" style="1" customWidth="1"/>
    <col min="13019" max="13074" width="2.125" style="1" customWidth="1"/>
    <col min="13075" max="13271" width="9" style="1"/>
    <col min="13272" max="13272" width="2.125" style="1" customWidth="1"/>
    <col min="13273" max="13273" width="5.125" style="1" customWidth="1"/>
    <col min="13274" max="13274" width="40.875" style="1" customWidth="1"/>
    <col min="13275" max="13330" width="2.125" style="1" customWidth="1"/>
    <col min="13331" max="13527" width="9" style="1"/>
    <col min="13528" max="13528" width="2.125" style="1" customWidth="1"/>
    <col min="13529" max="13529" width="5.125" style="1" customWidth="1"/>
    <col min="13530" max="13530" width="40.875" style="1" customWidth="1"/>
    <col min="13531" max="13586" width="2.125" style="1" customWidth="1"/>
    <col min="13587" max="13783" width="9" style="1"/>
    <col min="13784" max="13784" width="2.125" style="1" customWidth="1"/>
    <col min="13785" max="13785" width="5.125" style="1" customWidth="1"/>
    <col min="13786" max="13786" width="40.875" style="1" customWidth="1"/>
    <col min="13787" max="13842" width="2.125" style="1" customWidth="1"/>
    <col min="13843" max="14039" width="9" style="1"/>
    <col min="14040" max="14040" width="2.125" style="1" customWidth="1"/>
    <col min="14041" max="14041" width="5.125" style="1" customWidth="1"/>
    <col min="14042" max="14042" width="40.875" style="1" customWidth="1"/>
    <col min="14043" max="14098" width="2.125" style="1" customWidth="1"/>
    <col min="14099" max="14295" width="9" style="1"/>
    <col min="14296" max="14296" width="2.125" style="1" customWidth="1"/>
    <col min="14297" max="14297" width="5.125" style="1" customWidth="1"/>
    <col min="14298" max="14298" width="40.875" style="1" customWidth="1"/>
    <col min="14299" max="14354" width="2.125" style="1" customWidth="1"/>
    <col min="14355" max="14551" width="9" style="1"/>
    <col min="14552" max="14552" width="2.125" style="1" customWidth="1"/>
    <col min="14553" max="14553" width="5.125" style="1" customWidth="1"/>
    <col min="14554" max="14554" width="40.875" style="1" customWidth="1"/>
    <col min="14555" max="14610" width="2.125" style="1" customWidth="1"/>
    <col min="14611" max="14807" width="9" style="1"/>
    <col min="14808" max="14808" width="2.125" style="1" customWidth="1"/>
    <col min="14809" max="14809" width="5.125" style="1" customWidth="1"/>
    <col min="14810" max="14810" width="40.875" style="1" customWidth="1"/>
    <col min="14811" max="14866" width="2.125" style="1" customWidth="1"/>
    <col min="14867" max="15063" width="9" style="1"/>
    <col min="15064" max="15064" width="2.125" style="1" customWidth="1"/>
    <col min="15065" max="15065" width="5.125" style="1" customWidth="1"/>
    <col min="15066" max="15066" width="40.875" style="1" customWidth="1"/>
    <col min="15067" max="15122" width="2.125" style="1" customWidth="1"/>
    <col min="15123" max="15319" width="9" style="1"/>
    <col min="15320" max="15320" width="2.125" style="1" customWidth="1"/>
    <col min="15321" max="15321" width="5.125" style="1" customWidth="1"/>
    <col min="15322" max="15322" width="40.875" style="1" customWidth="1"/>
    <col min="15323" max="15378" width="2.125" style="1" customWidth="1"/>
    <col min="15379" max="15575" width="9" style="1"/>
    <col min="15576" max="15576" width="2.125" style="1" customWidth="1"/>
    <col min="15577" max="15577" width="5.125" style="1" customWidth="1"/>
    <col min="15578" max="15578" width="40.875" style="1" customWidth="1"/>
    <col min="15579" max="15634" width="2.125" style="1" customWidth="1"/>
    <col min="15635" max="15831" width="9" style="1"/>
    <col min="15832" max="15832" width="2.125" style="1" customWidth="1"/>
    <col min="15833" max="15833" width="5.125" style="1" customWidth="1"/>
    <col min="15834" max="15834" width="40.875" style="1" customWidth="1"/>
    <col min="15835" max="15890" width="2.125" style="1" customWidth="1"/>
    <col min="15891" max="16087" width="9" style="1"/>
    <col min="16088" max="16088" width="2.125" style="1" customWidth="1"/>
    <col min="16089" max="16089" width="5.125" style="1" customWidth="1"/>
    <col min="16090" max="16090" width="40.875" style="1" customWidth="1"/>
    <col min="16091" max="16146" width="2.125" style="1" customWidth="1"/>
    <col min="16147" max="16384" width="9" style="1"/>
  </cols>
  <sheetData>
    <row r="1" spans="1:25" ht="30" customHeight="1">
      <c r="A1" s="9" t="str">
        <f>P市町村名</f>
        <v>さぬき市</v>
      </c>
      <c r="B1" s="9"/>
      <c r="C1" s="10" t="str">
        <f>P対象年度 &amp; " " &amp; P市町村名 &amp; P業種 &amp; " 入札参加申請書"</f>
        <v>平成31・32年度 さぬき市測量・建設コンサルタント 入札参加申請書</v>
      </c>
      <c r="D1" s="10"/>
      <c r="E1" s="5"/>
      <c r="U1" s="420"/>
      <c r="V1" s="784">
        <v>43431</v>
      </c>
      <c r="W1" s="784"/>
      <c r="X1" s="44"/>
      <c r="Y1" s="44"/>
    </row>
    <row r="2" spans="1:25" ht="15" customHeight="1">
      <c r="A2" s="9" t="str">
        <f>P業種区分</f>
        <v>コンサル</v>
      </c>
      <c r="B2" s="9"/>
      <c r="C2" s="46"/>
      <c r="D2" s="46"/>
      <c r="Y2" s="47"/>
    </row>
    <row r="3" spans="1:25" ht="15" customHeight="1">
      <c r="A3" s="8" t="str">
        <f>Pver</f>
        <v>2019.01</v>
      </c>
      <c r="B3" s="8"/>
      <c r="C3" s="471" t="str">
        <f>P対象年度 &amp; " " &amp; P市町村名 &amp; " " &amp; P業種 &amp; "の申請に必要な項目を入力してください。"</f>
        <v>平成31・32年度 さぬき市 測量・建設コンサルタントの申請に必要な項目を入力してください。</v>
      </c>
      <c r="D3" s="471"/>
      <c r="E3" s="471"/>
      <c r="F3" s="471"/>
      <c r="G3" s="471"/>
      <c r="H3" s="471"/>
      <c r="I3" s="471"/>
      <c r="J3" s="471"/>
      <c r="K3" s="471"/>
      <c r="L3" s="471"/>
      <c r="M3" s="471"/>
      <c r="N3" s="471"/>
      <c r="O3" s="471"/>
      <c r="P3" s="471"/>
      <c r="Q3" s="471"/>
      <c r="R3" s="471"/>
      <c r="S3" s="471"/>
      <c r="T3" s="471"/>
      <c r="U3" s="471"/>
      <c r="V3" s="471"/>
      <c r="W3" s="471"/>
      <c r="X3" s="471"/>
    </row>
    <row r="4" spans="1:25" ht="15" customHeight="1">
      <c r="A4" s="8"/>
      <c r="B4" s="8"/>
      <c r="C4" s="472" t="s">
        <v>67</v>
      </c>
      <c r="D4" s="472"/>
      <c r="E4" s="472"/>
      <c r="F4" s="472"/>
      <c r="G4" s="472"/>
      <c r="H4" s="472"/>
      <c r="I4" s="472"/>
      <c r="J4" s="472"/>
      <c r="K4" s="472"/>
      <c r="L4" s="472"/>
      <c r="M4" s="472"/>
      <c r="N4" s="472"/>
      <c r="O4" s="472"/>
      <c r="P4" s="472"/>
      <c r="Q4" s="472"/>
      <c r="R4" s="472"/>
      <c r="S4" s="472"/>
      <c r="T4" s="472"/>
      <c r="U4" s="472"/>
      <c r="V4" s="472"/>
      <c r="W4" s="472"/>
      <c r="X4" s="472"/>
    </row>
    <row r="5" spans="1:25" ht="15" customHeight="1">
      <c r="A5" s="8"/>
      <c r="B5" s="8"/>
      <c r="C5" s="472" t="s">
        <v>68</v>
      </c>
      <c r="D5" s="472"/>
      <c r="E5" s="472"/>
      <c r="F5" s="472"/>
      <c r="G5" s="472"/>
      <c r="H5" s="472"/>
      <c r="I5" s="472"/>
      <c r="J5" s="472"/>
      <c r="K5" s="472"/>
      <c r="L5" s="472"/>
      <c r="M5" s="472"/>
      <c r="N5" s="472"/>
      <c r="O5" s="472"/>
      <c r="P5" s="472"/>
      <c r="Q5" s="472"/>
      <c r="R5" s="472"/>
      <c r="S5" s="472"/>
      <c r="T5" s="472"/>
      <c r="U5" s="472"/>
      <c r="V5" s="472"/>
      <c r="W5" s="472"/>
      <c r="X5" s="472"/>
    </row>
    <row r="6" spans="1:25" ht="15" customHeight="1">
      <c r="A6" s="8"/>
      <c r="B6" s="8"/>
      <c r="C6" s="472" t="s">
        <v>69</v>
      </c>
      <c r="D6" s="472"/>
      <c r="E6" s="472"/>
      <c r="F6" s="472"/>
      <c r="G6" s="472"/>
      <c r="H6" s="472"/>
      <c r="I6" s="472"/>
      <c r="J6" s="472"/>
      <c r="K6" s="472"/>
      <c r="L6" s="472"/>
      <c r="M6" s="472"/>
      <c r="N6" s="472"/>
      <c r="O6" s="472"/>
      <c r="P6" s="472"/>
      <c r="Q6" s="472"/>
      <c r="R6" s="472"/>
      <c r="S6" s="472"/>
      <c r="T6" s="472"/>
      <c r="U6" s="472"/>
      <c r="V6" s="472"/>
      <c r="W6" s="472"/>
      <c r="X6" s="472"/>
    </row>
    <row r="7" spans="1:25" ht="15" customHeight="1">
      <c r="A7" s="8"/>
      <c r="B7" s="8"/>
      <c r="E7" s="5"/>
    </row>
    <row r="8" spans="1:25" ht="20.100000000000001" customHeight="1">
      <c r="A8" s="8"/>
      <c r="B8" s="8"/>
      <c r="C8" s="643" t="s">
        <v>78</v>
      </c>
      <c r="D8" s="644"/>
      <c r="E8" s="644"/>
      <c r="F8" s="644"/>
      <c r="G8" s="644"/>
      <c r="H8" s="645"/>
    </row>
    <row r="9" spans="1:25" ht="8.1" customHeight="1">
      <c r="A9" s="8"/>
      <c r="B9" s="8"/>
      <c r="C9" s="11"/>
      <c r="D9" s="12"/>
      <c r="E9" s="776"/>
      <c r="F9" s="776"/>
      <c r="G9" s="776"/>
      <c r="H9" s="776"/>
      <c r="I9" s="13"/>
      <c r="J9" s="13"/>
      <c r="K9" s="13"/>
      <c r="L9" s="13"/>
      <c r="M9" s="13"/>
      <c r="N9" s="13"/>
      <c r="O9" s="13"/>
      <c r="P9" s="13"/>
      <c r="Q9" s="13"/>
      <c r="R9" s="13"/>
      <c r="S9" s="13"/>
      <c r="T9" s="13"/>
      <c r="U9" s="13"/>
      <c r="V9" s="13"/>
      <c r="W9" s="13"/>
      <c r="X9" s="14"/>
    </row>
    <row r="10" spans="1:25" ht="20.100000000000001" customHeight="1">
      <c r="A10" s="8">
        <f>IF(ISBLANK(I10), 1, 0)</f>
        <v>1</v>
      </c>
      <c r="B10" s="8"/>
      <c r="C10" s="15"/>
      <c r="D10" s="16">
        <v>1</v>
      </c>
      <c r="E10" s="521" t="s">
        <v>70</v>
      </c>
      <c r="F10" s="521"/>
      <c r="G10" s="521"/>
      <c r="H10" s="521"/>
      <c r="I10" s="519"/>
      <c r="J10" s="519"/>
      <c r="K10" s="519"/>
      <c r="L10" s="519"/>
      <c r="M10" s="519"/>
      <c r="N10" s="520"/>
      <c r="O10" s="520"/>
      <c r="P10" s="520"/>
      <c r="Q10" s="520"/>
      <c r="R10" s="520"/>
      <c r="S10" s="520"/>
      <c r="T10" s="520"/>
      <c r="U10" s="520"/>
      <c r="V10" s="520"/>
      <c r="W10" s="520"/>
      <c r="X10" s="17"/>
    </row>
    <row r="11" spans="1:25" ht="20.100000000000001" customHeight="1">
      <c r="A11" s="8"/>
      <c r="B11" s="8"/>
      <c r="C11" s="15"/>
      <c r="D11" s="16"/>
      <c r="E11" s="521"/>
      <c r="F11" s="521"/>
      <c r="G11" s="521"/>
      <c r="H11" s="521"/>
      <c r="I11" s="48" t="s">
        <v>76</v>
      </c>
      <c r="J11" s="473" t="s">
        <v>434</v>
      </c>
      <c r="K11" s="473"/>
      <c r="L11" s="473"/>
      <c r="M11" s="473"/>
      <c r="N11" s="473"/>
      <c r="O11" s="473"/>
      <c r="P11" s="473"/>
      <c r="Q11" s="473"/>
      <c r="R11" s="473"/>
      <c r="S11" s="473"/>
      <c r="T11" s="473"/>
      <c r="U11" s="473"/>
      <c r="V11" s="473"/>
      <c r="W11" s="473"/>
      <c r="X11" s="17"/>
    </row>
    <row r="12" spans="1:25" ht="20.100000000000001" customHeight="1">
      <c r="A12" s="8">
        <f>IF(AND($I12&lt;&gt;"個人", $I12&lt;&gt;"法人"), 102, 0)</f>
        <v>102</v>
      </c>
      <c r="B12" s="8"/>
      <c r="C12" s="15"/>
      <c r="D12" s="16">
        <v>2</v>
      </c>
      <c r="E12" s="521" t="s">
        <v>71</v>
      </c>
      <c r="F12" s="521"/>
      <c r="G12" s="521"/>
      <c r="H12" s="521"/>
      <c r="I12" s="777"/>
      <c r="J12" s="777"/>
      <c r="K12" s="777"/>
      <c r="L12" s="777"/>
      <c r="M12" s="777"/>
      <c r="N12" s="520"/>
      <c r="O12" s="520"/>
      <c r="P12" s="520"/>
      <c r="Q12" s="520"/>
      <c r="R12" s="520"/>
      <c r="S12" s="520"/>
      <c r="T12" s="520"/>
      <c r="U12" s="520"/>
      <c r="V12" s="520"/>
      <c r="W12" s="520"/>
      <c r="X12" s="17"/>
    </row>
    <row r="13" spans="1:25" ht="20.100000000000001" customHeight="1">
      <c r="A13" s="8"/>
      <c r="B13" s="8"/>
      <c r="C13" s="15"/>
      <c r="D13" s="16"/>
      <c r="E13" s="521"/>
      <c r="F13" s="521"/>
      <c r="G13" s="521"/>
      <c r="H13" s="521"/>
      <c r="I13" s="48" t="s">
        <v>76</v>
      </c>
      <c r="J13" s="473" t="s">
        <v>75</v>
      </c>
      <c r="K13" s="473"/>
      <c r="L13" s="473"/>
      <c r="M13" s="473"/>
      <c r="N13" s="473"/>
      <c r="O13" s="473"/>
      <c r="P13" s="473"/>
      <c r="Q13" s="473"/>
      <c r="R13" s="473"/>
      <c r="S13" s="473"/>
      <c r="T13" s="473"/>
      <c r="U13" s="473"/>
      <c r="V13" s="473"/>
      <c r="W13" s="473"/>
      <c r="X13" s="17"/>
    </row>
    <row r="14" spans="1:25" ht="20.100000000000001" customHeight="1">
      <c r="A14" s="8">
        <f>IF(AND($I14&lt;&gt;"無", $I14&lt;&gt;"有"), 102, 0)</f>
        <v>102</v>
      </c>
      <c r="B14" s="8"/>
      <c r="C14" s="15"/>
      <c r="D14" s="16">
        <v>3</v>
      </c>
      <c r="E14" s="521" t="s">
        <v>72</v>
      </c>
      <c r="F14" s="521"/>
      <c r="G14" s="521"/>
      <c r="H14" s="521"/>
      <c r="I14" s="777"/>
      <c r="J14" s="777"/>
      <c r="K14" s="777"/>
      <c r="L14" s="777"/>
      <c r="M14" s="777"/>
      <c r="N14" s="520"/>
      <c r="O14" s="520"/>
      <c r="P14" s="520"/>
      <c r="Q14" s="520"/>
      <c r="R14" s="520"/>
      <c r="S14" s="520"/>
      <c r="T14" s="520"/>
      <c r="U14" s="520"/>
      <c r="V14" s="520"/>
      <c r="W14" s="520"/>
      <c r="X14" s="17"/>
    </row>
    <row r="15" spans="1:25" ht="20.100000000000001" customHeight="1">
      <c r="A15" s="8"/>
      <c r="B15" s="8"/>
      <c r="C15" s="15"/>
      <c r="D15" s="16"/>
      <c r="E15" s="521"/>
      <c r="F15" s="521"/>
      <c r="G15" s="521"/>
      <c r="H15" s="521"/>
      <c r="I15" s="48" t="s">
        <v>77</v>
      </c>
      <c r="J15" s="473" t="s">
        <v>80</v>
      </c>
      <c r="K15" s="473"/>
      <c r="L15" s="473"/>
      <c r="M15" s="473"/>
      <c r="N15" s="473"/>
      <c r="O15" s="473"/>
      <c r="P15" s="473"/>
      <c r="Q15" s="473"/>
      <c r="R15" s="473"/>
      <c r="S15" s="473"/>
      <c r="T15" s="473"/>
      <c r="U15" s="473"/>
      <c r="V15" s="473"/>
      <c r="W15" s="473"/>
      <c r="X15" s="17"/>
    </row>
    <row r="16" spans="1:25" ht="20.100000000000001" customHeight="1">
      <c r="A16" s="8">
        <f>IF(AND($I16&lt;&gt;"無", $I16&lt;&gt;"有"), 102, 0)</f>
        <v>102</v>
      </c>
      <c r="B16" s="8"/>
      <c r="C16" s="15"/>
      <c r="D16" s="16">
        <v>4</v>
      </c>
      <c r="E16" s="521" t="s">
        <v>73</v>
      </c>
      <c r="F16" s="521"/>
      <c r="G16" s="521"/>
      <c r="H16" s="521"/>
      <c r="I16" s="777"/>
      <c r="J16" s="777"/>
      <c r="K16" s="777"/>
      <c r="L16" s="777"/>
      <c r="M16" s="777"/>
      <c r="N16" s="520"/>
      <c r="O16" s="520"/>
      <c r="P16" s="520"/>
      <c r="Q16" s="520"/>
      <c r="R16" s="520"/>
      <c r="S16" s="520"/>
      <c r="T16" s="520"/>
      <c r="U16" s="520"/>
      <c r="V16" s="520"/>
      <c r="W16" s="520"/>
      <c r="X16" s="17"/>
    </row>
    <row r="17" spans="1:24" ht="20.100000000000001" customHeight="1">
      <c r="A17" s="8"/>
      <c r="B17" s="8"/>
      <c r="C17" s="18"/>
      <c r="D17" s="42"/>
      <c r="E17" s="521"/>
      <c r="F17" s="521"/>
      <c r="G17" s="521"/>
      <c r="H17" s="521"/>
      <c r="I17" s="48" t="s">
        <v>77</v>
      </c>
      <c r="J17" s="473" t="s">
        <v>142</v>
      </c>
      <c r="K17" s="473"/>
      <c r="L17" s="473"/>
      <c r="M17" s="473"/>
      <c r="N17" s="473"/>
      <c r="O17" s="473"/>
      <c r="P17" s="473"/>
      <c r="Q17" s="473"/>
      <c r="R17" s="473"/>
      <c r="S17" s="473"/>
      <c r="T17" s="473"/>
      <c r="U17" s="473"/>
      <c r="V17" s="473"/>
      <c r="W17" s="473"/>
      <c r="X17" s="17"/>
    </row>
    <row r="18" spans="1:24" ht="5.0999999999999996" customHeight="1">
      <c r="A18" s="8"/>
      <c r="B18" s="8"/>
      <c r="C18" s="19"/>
      <c r="D18" s="20"/>
      <c r="E18" s="779"/>
      <c r="F18" s="779"/>
      <c r="G18" s="779"/>
      <c r="H18" s="779"/>
      <c r="I18" s="20"/>
      <c r="J18" s="20"/>
      <c r="K18" s="20"/>
      <c r="L18" s="20"/>
      <c r="M18" s="20"/>
      <c r="N18" s="20"/>
      <c r="O18" s="20"/>
      <c r="P18" s="20"/>
      <c r="Q18" s="20"/>
      <c r="R18" s="20"/>
      <c r="S18" s="20"/>
      <c r="T18" s="20"/>
      <c r="U18" s="20"/>
      <c r="V18" s="20"/>
      <c r="W18" s="20"/>
      <c r="X18" s="21"/>
    </row>
    <row r="19" spans="1:24" ht="20.100000000000001" customHeight="1">
      <c r="A19" s="8"/>
      <c r="B19" s="8"/>
      <c r="E19" s="5"/>
    </row>
    <row r="20" spans="1:24" ht="20.100000000000001" customHeight="1">
      <c r="A20" s="8"/>
      <c r="B20" s="8"/>
      <c r="C20" s="643" t="s">
        <v>74</v>
      </c>
      <c r="D20" s="644"/>
      <c r="E20" s="644"/>
      <c r="F20" s="644"/>
      <c r="G20" s="644"/>
      <c r="H20" s="645"/>
    </row>
    <row r="21" spans="1:24" ht="8.1" customHeight="1">
      <c r="A21" s="8"/>
      <c r="B21" s="8"/>
      <c r="C21" s="11"/>
      <c r="D21" s="12"/>
      <c r="E21" s="776"/>
      <c r="F21" s="776"/>
      <c r="G21" s="776"/>
      <c r="H21" s="776"/>
      <c r="I21" s="13"/>
      <c r="J21" s="13"/>
      <c r="K21" s="13"/>
      <c r="L21" s="13"/>
      <c r="M21" s="13"/>
      <c r="N21" s="13"/>
      <c r="O21" s="13"/>
      <c r="P21" s="13"/>
      <c r="Q21" s="13"/>
      <c r="R21" s="13"/>
      <c r="S21" s="13"/>
      <c r="T21" s="13"/>
      <c r="U21" s="13"/>
      <c r="V21" s="13"/>
      <c r="W21" s="13"/>
      <c r="X21" s="14"/>
    </row>
    <row r="22" spans="1:24" ht="20.100000000000001" customHeight="1">
      <c r="A22" s="8">
        <f>IF(AND($I22&lt;&gt;"市内", $I22&lt;&gt;"県内", $I22&lt;&gt;"県外"), 102, 0)</f>
        <v>102</v>
      </c>
      <c r="B22" s="8"/>
      <c r="C22" s="15"/>
      <c r="D22" s="16">
        <v>1</v>
      </c>
      <c r="E22" s="490" t="s">
        <v>0</v>
      </c>
      <c r="F22" s="490"/>
      <c r="G22" s="490"/>
      <c r="H22" s="490"/>
      <c r="I22" s="777"/>
      <c r="J22" s="777"/>
      <c r="K22" s="777"/>
      <c r="L22" s="777"/>
      <c r="M22" s="777"/>
      <c r="N22" s="520"/>
      <c r="O22" s="520"/>
      <c r="P22" s="520"/>
      <c r="Q22" s="520"/>
      <c r="R22" s="520"/>
      <c r="S22" s="520"/>
      <c r="T22" s="520"/>
      <c r="U22" s="520"/>
      <c r="V22" s="520"/>
      <c r="W22" s="520"/>
      <c r="X22" s="17"/>
    </row>
    <row r="23" spans="1:24" ht="20.100000000000001" customHeight="1">
      <c r="A23" s="8"/>
      <c r="B23" s="8"/>
      <c r="C23" s="15"/>
      <c r="D23" s="16"/>
      <c r="E23" s="521"/>
      <c r="F23" s="521"/>
      <c r="G23" s="521"/>
      <c r="H23" s="521"/>
      <c r="I23" s="48" t="s">
        <v>76</v>
      </c>
      <c r="J23" s="473" t="s">
        <v>75</v>
      </c>
      <c r="K23" s="473"/>
      <c r="L23" s="473"/>
      <c r="M23" s="473"/>
      <c r="N23" s="473"/>
      <c r="O23" s="473"/>
      <c r="P23" s="473"/>
      <c r="Q23" s="473"/>
      <c r="R23" s="473"/>
      <c r="S23" s="473"/>
      <c r="T23" s="473"/>
      <c r="U23" s="473"/>
      <c r="V23" s="473"/>
      <c r="W23" s="473"/>
      <c r="X23" s="17"/>
    </row>
    <row r="24" spans="1:24" ht="20.100000000000001" customHeight="1">
      <c r="A24" s="8">
        <f>IF(ISBLANK(I24), 1, 0)</f>
        <v>1</v>
      </c>
      <c r="B24" s="8"/>
      <c r="C24" s="15"/>
      <c r="D24" s="16">
        <v>2</v>
      </c>
      <c r="E24" s="490" t="s">
        <v>1</v>
      </c>
      <c r="F24" s="490"/>
      <c r="G24" s="490"/>
      <c r="H24" s="490"/>
      <c r="I24" s="773"/>
      <c r="J24" s="773"/>
      <c r="K24" s="773"/>
      <c r="L24" s="773"/>
      <c r="M24" s="773"/>
      <c r="N24" s="520"/>
      <c r="O24" s="520"/>
      <c r="P24" s="520"/>
      <c r="Q24" s="520"/>
      <c r="R24" s="520"/>
      <c r="S24" s="520"/>
      <c r="T24" s="520"/>
      <c r="U24" s="520"/>
      <c r="V24" s="520"/>
      <c r="W24" s="520"/>
      <c r="X24" s="17"/>
    </row>
    <row r="25" spans="1:24" ht="20.100000000000001" customHeight="1">
      <c r="A25" s="8"/>
      <c r="B25" s="8"/>
      <c r="C25" s="15"/>
      <c r="D25" s="16"/>
      <c r="E25" s="521"/>
      <c r="F25" s="521"/>
      <c r="G25" s="521"/>
      <c r="H25" s="521"/>
      <c r="I25" s="48" t="s">
        <v>77</v>
      </c>
      <c r="J25" s="473" t="s">
        <v>435</v>
      </c>
      <c r="K25" s="473"/>
      <c r="L25" s="473"/>
      <c r="M25" s="473"/>
      <c r="N25" s="473"/>
      <c r="O25" s="473"/>
      <c r="P25" s="473"/>
      <c r="Q25" s="473"/>
      <c r="R25" s="473"/>
      <c r="S25" s="473"/>
      <c r="T25" s="473"/>
      <c r="U25" s="473"/>
      <c r="V25" s="473"/>
      <c r="W25" s="473"/>
      <c r="X25" s="17"/>
    </row>
    <row r="26" spans="1:24" ht="20.100000000000001" customHeight="1">
      <c r="A26" s="8">
        <f>IF(AND(I26&lt;&gt;"", OR(ISERROR(FIND("@"&amp;LEFT(I26,3)&amp;"@",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ISERROR(FIND("@"&amp;LEFT(I26,4)&amp;"@","@神奈川県@和歌山県@鹿児島県@"))=FALSE))=FALSE, 1001,0)</f>
        <v>1001</v>
      </c>
      <c r="B26" s="8"/>
      <c r="C26" s="15"/>
      <c r="D26" s="16">
        <v>3</v>
      </c>
      <c r="E26" s="490" t="s">
        <v>2</v>
      </c>
      <c r="F26" s="490"/>
      <c r="G26" s="490"/>
      <c r="H26" s="490"/>
      <c r="I26" s="772"/>
      <c r="J26" s="772"/>
      <c r="K26" s="772"/>
      <c r="L26" s="772"/>
      <c r="M26" s="772"/>
      <c r="N26" s="772"/>
      <c r="O26" s="772"/>
      <c r="P26" s="772"/>
      <c r="Q26" s="772"/>
      <c r="R26" s="772"/>
      <c r="S26" s="772"/>
      <c r="T26" s="772"/>
      <c r="U26" s="772"/>
      <c r="V26" s="772"/>
      <c r="W26" s="772"/>
      <c r="X26" s="17"/>
    </row>
    <row r="27" spans="1:24" ht="20.100000000000001" customHeight="1">
      <c r="A27" s="8"/>
      <c r="B27" s="8"/>
      <c r="C27" s="15"/>
      <c r="D27" s="16"/>
      <c r="E27" s="521"/>
      <c r="F27" s="521"/>
      <c r="G27" s="521"/>
      <c r="H27" s="521"/>
      <c r="I27" s="50" t="s">
        <v>395</v>
      </c>
      <c r="J27" s="473" t="s">
        <v>396</v>
      </c>
      <c r="K27" s="473"/>
      <c r="L27" s="473"/>
      <c r="M27" s="473"/>
      <c r="N27" s="473"/>
      <c r="O27" s="473"/>
      <c r="P27" s="473"/>
      <c r="Q27" s="473"/>
      <c r="R27" s="473"/>
      <c r="S27" s="473"/>
      <c r="T27" s="473"/>
      <c r="U27" s="473"/>
      <c r="V27" s="473"/>
      <c r="W27" s="473"/>
      <c r="X27" s="17"/>
    </row>
    <row r="28" spans="1:24" ht="20.100000000000001" customHeight="1">
      <c r="A28" s="8">
        <f>IF(ISBLANK(I28), 1, 0)</f>
        <v>1</v>
      </c>
      <c r="B28" s="8"/>
      <c r="C28" s="15"/>
      <c r="D28" s="16">
        <v>4</v>
      </c>
      <c r="E28" s="490" t="s">
        <v>3</v>
      </c>
      <c r="F28" s="490"/>
      <c r="G28" s="490"/>
      <c r="H28" s="490"/>
      <c r="I28" s="761"/>
      <c r="J28" s="761"/>
      <c r="K28" s="761"/>
      <c r="L28" s="761"/>
      <c r="M28" s="761"/>
      <c r="N28" s="761"/>
      <c r="O28" s="761"/>
      <c r="P28" s="761"/>
      <c r="Q28" s="761"/>
      <c r="R28" s="761"/>
      <c r="S28" s="761"/>
      <c r="T28" s="761"/>
      <c r="U28" s="761"/>
      <c r="V28" s="761"/>
      <c r="W28" s="761"/>
      <c r="X28" s="17"/>
    </row>
    <row r="29" spans="1:24" ht="20.100000000000001" customHeight="1">
      <c r="A29" s="8"/>
      <c r="B29" s="8"/>
      <c r="C29" s="18"/>
      <c r="D29" s="42"/>
      <c r="E29" s="521"/>
      <c r="F29" s="521"/>
      <c r="G29" s="521"/>
      <c r="H29" s="521"/>
      <c r="I29" s="48" t="s">
        <v>77</v>
      </c>
      <c r="J29" s="473" t="s">
        <v>400</v>
      </c>
      <c r="K29" s="473"/>
      <c r="L29" s="473"/>
      <c r="M29" s="473"/>
      <c r="N29" s="473"/>
      <c r="O29" s="473"/>
      <c r="P29" s="473"/>
      <c r="Q29" s="473"/>
      <c r="R29" s="473"/>
      <c r="S29" s="473"/>
      <c r="T29" s="473"/>
      <c r="U29" s="473"/>
      <c r="V29" s="473"/>
      <c r="W29" s="473"/>
      <c r="X29" s="17"/>
    </row>
    <row r="30" spans="1:24" ht="20.100000000000001" customHeight="1">
      <c r="A30" s="8">
        <f>IF(ISBLANK(I30), 1, 0)</f>
        <v>1</v>
      </c>
      <c r="B30" s="8"/>
      <c r="C30" s="15"/>
      <c r="D30" s="16">
        <v>5</v>
      </c>
      <c r="E30" s="490" t="s">
        <v>4</v>
      </c>
      <c r="F30" s="490"/>
      <c r="G30" s="490"/>
      <c r="H30" s="490"/>
      <c r="I30" s="761"/>
      <c r="J30" s="761"/>
      <c r="K30" s="761"/>
      <c r="L30" s="761"/>
      <c r="M30" s="761"/>
      <c r="N30" s="761"/>
      <c r="O30" s="761"/>
      <c r="P30" s="761"/>
      <c r="Q30" s="761"/>
      <c r="R30" s="761"/>
      <c r="S30" s="761"/>
      <c r="T30" s="761"/>
      <c r="U30" s="761"/>
      <c r="V30" s="761"/>
      <c r="W30" s="761"/>
      <c r="X30" s="17"/>
    </row>
    <row r="31" spans="1:24" ht="39.950000000000003" customHeight="1">
      <c r="A31" s="8"/>
      <c r="B31" s="8"/>
      <c r="C31" s="18"/>
      <c r="D31" s="42"/>
      <c r="E31" s="521"/>
      <c r="F31" s="521"/>
      <c r="G31" s="521"/>
      <c r="H31" s="521"/>
      <c r="I31" s="49" t="s">
        <v>77</v>
      </c>
      <c r="J31" s="476" t="s">
        <v>452</v>
      </c>
      <c r="K31" s="476"/>
      <c r="L31" s="476"/>
      <c r="M31" s="476"/>
      <c r="N31" s="476"/>
      <c r="O31" s="476"/>
      <c r="P31" s="476"/>
      <c r="Q31" s="476"/>
      <c r="R31" s="476"/>
      <c r="S31" s="476"/>
      <c r="T31" s="476"/>
      <c r="U31" s="476"/>
      <c r="V31" s="476"/>
      <c r="W31" s="476"/>
      <c r="X31" s="22"/>
    </row>
    <row r="32" spans="1:24" ht="20.100000000000001" customHeight="1">
      <c r="A32" s="8">
        <f>IF(ISBLANK(I32), 1, 0)</f>
        <v>1</v>
      </c>
      <c r="B32" s="8"/>
      <c r="C32" s="15"/>
      <c r="D32" s="16">
        <v>6</v>
      </c>
      <c r="E32" s="490" t="s">
        <v>408</v>
      </c>
      <c r="F32" s="490"/>
      <c r="G32" s="490"/>
      <c r="H32" s="490"/>
      <c r="I32" s="761"/>
      <c r="J32" s="761"/>
      <c r="K32" s="761"/>
      <c r="L32" s="761"/>
      <c r="M32" s="761"/>
      <c r="N32" s="761"/>
      <c r="O32" s="761"/>
      <c r="P32" s="761"/>
      <c r="Q32" s="761"/>
      <c r="R32" s="761"/>
      <c r="S32" s="761"/>
      <c r="T32" s="761"/>
      <c r="U32" s="761"/>
      <c r="V32" s="761"/>
      <c r="W32" s="761"/>
      <c r="X32" s="17"/>
    </row>
    <row r="33" spans="1:24" ht="20.100000000000001" customHeight="1">
      <c r="A33" s="8"/>
      <c r="B33" s="8"/>
      <c r="C33" s="18"/>
      <c r="D33" s="42"/>
      <c r="E33" s="521"/>
      <c r="F33" s="521"/>
      <c r="G33" s="521"/>
      <c r="H33" s="521"/>
      <c r="I33" s="48" t="s">
        <v>77</v>
      </c>
      <c r="J33" s="473" t="s">
        <v>453</v>
      </c>
      <c r="K33" s="473"/>
      <c r="L33" s="473"/>
      <c r="M33" s="473"/>
      <c r="N33" s="473"/>
      <c r="O33" s="473"/>
      <c r="P33" s="473"/>
      <c r="Q33" s="473"/>
      <c r="R33" s="473"/>
      <c r="S33" s="473"/>
      <c r="T33" s="473"/>
      <c r="U33" s="473"/>
      <c r="V33" s="473"/>
      <c r="W33" s="473"/>
      <c r="X33" s="23"/>
    </row>
    <row r="34" spans="1:24" ht="20.100000000000001" customHeight="1">
      <c r="A34" s="8"/>
      <c r="B34" s="8"/>
      <c r="C34" s="15"/>
      <c r="D34" s="16">
        <v>7</v>
      </c>
      <c r="E34" s="490" t="s">
        <v>5</v>
      </c>
      <c r="F34" s="490"/>
      <c r="G34" s="490"/>
      <c r="H34" s="490"/>
      <c r="I34" s="761"/>
      <c r="J34" s="761"/>
      <c r="K34" s="761"/>
      <c r="L34" s="761"/>
      <c r="M34" s="761"/>
      <c r="N34" s="761"/>
      <c r="O34" s="761"/>
      <c r="P34" s="761"/>
      <c r="Q34" s="761"/>
      <c r="R34" s="761"/>
      <c r="S34" s="761"/>
      <c r="T34" s="761"/>
      <c r="U34" s="761"/>
      <c r="V34" s="761"/>
      <c r="W34" s="761"/>
      <c r="X34" s="17"/>
    </row>
    <row r="35" spans="1:24" ht="20.100000000000001" customHeight="1">
      <c r="A35" s="8"/>
      <c r="B35" s="8"/>
      <c r="C35" s="18"/>
      <c r="D35" s="42"/>
      <c r="E35" s="521"/>
      <c r="F35" s="521"/>
      <c r="G35" s="521"/>
      <c r="H35" s="521"/>
      <c r="I35" s="48" t="s">
        <v>77</v>
      </c>
      <c r="J35" s="473" t="s">
        <v>81</v>
      </c>
      <c r="K35" s="473"/>
      <c r="L35" s="473"/>
      <c r="M35" s="473"/>
      <c r="N35" s="473"/>
      <c r="O35" s="473"/>
      <c r="P35" s="473"/>
      <c r="Q35" s="473"/>
      <c r="R35" s="473"/>
      <c r="S35" s="473"/>
      <c r="T35" s="473"/>
      <c r="U35" s="473"/>
      <c r="V35" s="473"/>
      <c r="W35" s="473"/>
      <c r="X35" s="23"/>
    </row>
    <row r="36" spans="1:24" ht="20.100000000000001" customHeight="1">
      <c r="A36" s="8">
        <f>IF(ISBLANK(I36), 1, 0)</f>
        <v>1</v>
      </c>
      <c r="B36" s="8"/>
      <c r="C36" s="15"/>
      <c r="D36" s="16">
        <v>8</v>
      </c>
      <c r="E36" s="490" t="s">
        <v>6</v>
      </c>
      <c r="F36" s="490"/>
      <c r="G36" s="490"/>
      <c r="H36" s="490"/>
      <c r="I36" s="761"/>
      <c r="J36" s="761"/>
      <c r="K36" s="761"/>
      <c r="L36" s="761"/>
      <c r="M36" s="761"/>
      <c r="N36" s="761"/>
      <c r="O36" s="761"/>
      <c r="P36" s="761"/>
      <c r="Q36" s="761"/>
      <c r="R36" s="761"/>
      <c r="S36" s="761"/>
      <c r="T36" s="761"/>
      <c r="U36" s="761"/>
      <c r="V36" s="761"/>
      <c r="W36" s="761"/>
      <c r="X36" s="17"/>
    </row>
    <row r="37" spans="1:24" ht="20.100000000000001" customHeight="1">
      <c r="A37" s="8"/>
      <c r="B37" s="8"/>
      <c r="C37" s="18"/>
      <c r="D37" s="42"/>
      <c r="E37" s="521"/>
      <c r="F37" s="521"/>
      <c r="G37" s="521"/>
      <c r="H37" s="521"/>
      <c r="I37" s="48" t="s">
        <v>77</v>
      </c>
      <c r="J37" s="473" t="s">
        <v>83</v>
      </c>
      <c r="K37" s="473"/>
      <c r="L37" s="473"/>
      <c r="M37" s="473"/>
      <c r="N37" s="473"/>
      <c r="O37" s="473"/>
      <c r="P37" s="473"/>
      <c r="Q37" s="473"/>
      <c r="R37" s="473"/>
      <c r="S37" s="473"/>
      <c r="T37" s="473"/>
      <c r="U37" s="473"/>
      <c r="V37" s="473"/>
      <c r="W37" s="473"/>
      <c r="X37" s="17"/>
    </row>
    <row r="38" spans="1:24" ht="20.100000000000001" customHeight="1">
      <c r="A38" s="8">
        <f>IF(ISBLANK(I38), 1, 0)</f>
        <v>1</v>
      </c>
      <c r="B38" s="8"/>
      <c r="C38" s="15"/>
      <c r="D38" s="16">
        <v>9</v>
      </c>
      <c r="E38" s="41" t="s">
        <v>7</v>
      </c>
      <c r="F38" s="41"/>
      <c r="G38" s="41"/>
      <c r="H38" s="41"/>
      <c r="I38" s="761"/>
      <c r="J38" s="761"/>
      <c r="K38" s="761"/>
      <c r="L38" s="761"/>
      <c r="M38" s="761"/>
      <c r="N38" s="520"/>
      <c r="O38" s="520"/>
      <c r="P38" s="520"/>
      <c r="Q38" s="520"/>
      <c r="R38" s="520"/>
      <c r="S38" s="520"/>
      <c r="T38" s="520"/>
      <c r="U38" s="520"/>
      <c r="V38" s="520"/>
      <c r="W38" s="520"/>
      <c r="X38" s="17"/>
    </row>
    <row r="39" spans="1:24" ht="20.100000000000001" customHeight="1">
      <c r="A39" s="8"/>
      <c r="B39" s="8"/>
      <c r="C39" s="18"/>
      <c r="D39" s="42"/>
      <c r="E39" s="42"/>
      <c r="F39" s="42"/>
      <c r="G39" s="42"/>
      <c r="H39" s="42"/>
      <c r="I39" s="48" t="s">
        <v>77</v>
      </c>
      <c r="J39" s="473" t="s">
        <v>82</v>
      </c>
      <c r="K39" s="473"/>
      <c r="L39" s="473"/>
      <c r="M39" s="473"/>
      <c r="N39" s="473"/>
      <c r="O39" s="473"/>
      <c r="P39" s="473"/>
      <c r="Q39" s="473"/>
      <c r="R39" s="473"/>
      <c r="S39" s="473"/>
      <c r="T39" s="473"/>
      <c r="U39" s="473"/>
      <c r="V39" s="473"/>
      <c r="W39" s="473"/>
      <c r="X39" s="17"/>
    </row>
    <row r="40" spans="1:24" ht="20.100000000000001" customHeight="1">
      <c r="A40" s="8">
        <f>IF(ISBLANK(I40), 1, 0)</f>
        <v>1</v>
      </c>
      <c r="B40" s="8"/>
      <c r="C40" s="15"/>
      <c r="D40" s="16">
        <v>10</v>
      </c>
      <c r="E40" s="41" t="s">
        <v>8</v>
      </c>
      <c r="F40" s="41"/>
      <c r="G40" s="41"/>
      <c r="H40" s="41"/>
      <c r="I40" s="761"/>
      <c r="J40" s="761"/>
      <c r="K40" s="761"/>
      <c r="L40" s="761"/>
      <c r="M40" s="761"/>
      <c r="N40" s="520"/>
      <c r="O40" s="520"/>
      <c r="P40" s="520"/>
      <c r="Q40" s="520"/>
      <c r="R40" s="520"/>
      <c r="S40" s="520"/>
      <c r="T40" s="520"/>
      <c r="U40" s="520"/>
      <c r="V40" s="520"/>
      <c r="W40" s="520"/>
      <c r="X40" s="17"/>
    </row>
    <row r="41" spans="1:24" ht="20.100000000000001" customHeight="1">
      <c r="A41" s="8"/>
      <c r="B41" s="8"/>
      <c r="C41" s="18"/>
      <c r="D41" s="42"/>
      <c r="E41" s="42"/>
      <c r="F41" s="42"/>
      <c r="G41" s="42"/>
      <c r="H41" s="42"/>
      <c r="I41" s="48" t="s">
        <v>77</v>
      </c>
      <c r="J41" s="473" t="s">
        <v>82</v>
      </c>
      <c r="K41" s="473"/>
      <c r="L41" s="473"/>
      <c r="M41" s="473"/>
      <c r="N41" s="473"/>
      <c r="O41" s="473"/>
      <c r="P41" s="473"/>
      <c r="Q41" s="473"/>
      <c r="R41" s="473"/>
      <c r="S41" s="473"/>
      <c r="T41" s="473"/>
      <c r="U41" s="473"/>
      <c r="V41" s="473"/>
      <c r="W41" s="473"/>
      <c r="X41" s="17"/>
    </row>
    <row r="42" spans="1:24" ht="20.100000000000001" customHeight="1">
      <c r="A42" s="8">
        <f>IF(ISBLANK(I42), 1, 0)</f>
        <v>1</v>
      </c>
      <c r="B42" s="8"/>
      <c r="C42" s="15"/>
      <c r="D42" s="16">
        <v>11</v>
      </c>
      <c r="E42" s="490" t="s">
        <v>14</v>
      </c>
      <c r="F42" s="490"/>
      <c r="G42" s="490"/>
      <c r="H42" s="490"/>
      <c r="I42" s="778"/>
      <c r="J42" s="778"/>
      <c r="K42" s="778"/>
      <c r="L42" s="778"/>
      <c r="M42" s="778"/>
      <c r="N42" s="520" t="s">
        <v>412</v>
      </c>
      <c r="O42" s="520"/>
      <c r="P42" s="520"/>
      <c r="Q42" s="520"/>
      <c r="R42" s="520"/>
      <c r="S42" s="520"/>
      <c r="T42" s="520"/>
      <c r="U42" s="520"/>
      <c r="V42" s="520"/>
      <c r="W42" s="520"/>
      <c r="X42" s="17"/>
    </row>
    <row r="43" spans="1:24" ht="39.950000000000003" customHeight="1">
      <c r="A43" s="378"/>
      <c r="B43" s="8"/>
      <c r="C43" s="18"/>
      <c r="D43" s="377"/>
      <c r="E43" s="521"/>
      <c r="F43" s="521"/>
      <c r="G43" s="521"/>
      <c r="H43" s="521"/>
      <c r="I43" s="49" t="s">
        <v>77</v>
      </c>
      <c r="J43" s="476" t="s">
        <v>436</v>
      </c>
      <c r="K43" s="476"/>
      <c r="L43" s="476"/>
      <c r="M43" s="476"/>
      <c r="N43" s="476"/>
      <c r="O43" s="476"/>
      <c r="P43" s="476"/>
      <c r="Q43" s="476"/>
      <c r="R43" s="476"/>
      <c r="S43" s="476"/>
      <c r="T43" s="476"/>
      <c r="U43" s="476"/>
      <c r="V43" s="476"/>
      <c r="W43" s="476"/>
      <c r="X43" s="17"/>
    </row>
    <row r="44" spans="1:24" ht="20.100000000000001" customHeight="1">
      <c r="A44" s="8">
        <f>IF(AND($I44&lt;&gt;"なし", $I44&lt;&gt;"会社更生法", $I44&lt;&gt;"民事再生法"), 102, 0)</f>
        <v>102</v>
      </c>
      <c r="B44" s="8"/>
      <c r="C44" s="15"/>
      <c r="D44" s="16">
        <v>12</v>
      </c>
      <c r="E44" s="56" t="s">
        <v>143</v>
      </c>
      <c r="F44" s="56"/>
      <c r="G44" s="56"/>
      <c r="H44" s="56"/>
      <c r="I44" s="777"/>
      <c r="J44" s="761"/>
      <c r="K44" s="761"/>
      <c r="L44" s="761"/>
      <c r="M44" s="761"/>
      <c r="N44" s="520"/>
      <c r="O44" s="520"/>
      <c r="P44" s="520"/>
      <c r="Q44" s="520"/>
      <c r="R44" s="520"/>
      <c r="S44" s="520"/>
      <c r="T44" s="520"/>
      <c r="U44" s="520"/>
      <c r="V44" s="520"/>
      <c r="W44" s="520"/>
      <c r="X44" s="17"/>
    </row>
    <row r="45" spans="1:24" ht="20.100000000000001" customHeight="1">
      <c r="A45" s="8"/>
      <c r="B45" s="8"/>
      <c r="C45" s="18"/>
      <c r="D45" s="55"/>
      <c r="E45" s="521"/>
      <c r="F45" s="521"/>
      <c r="G45" s="521"/>
      <c r="H45" s="521"/>
      <c r="I45" s="48" t="s">
        <v>76</v>
      </c>
      <c r="J45" s="473" t="s">
        <v>75</v>
      </c>
      <c r="K45" s="473"/>
      <c r="L45" s="473"/>
      <c r="M45" s="473"/>
      <c r="N45" s="473"/>
      <c r="O45" s="473"/>
      <c r="P45" s="473"/>
      <c r="Q45" s="473"/>
      <c r="R45" s="473"/>
      <c r="S45" s="473"/>
      <c r="T45" s="473"/>
      <c r="U45" s="473"/>
      <c r="V45" s="473"/>
      <c r="W45" s="473"/>
      <c r="X45" s="17"/>
    </row>
    <row r="46" spans="1:24" ht="20.100000000000001" customHeight="1">
      <c r="A46" s="8">
        <f>IF(AND(OR(I44="会社更生法",I44="民事再生法"), AND(ISBLANK(I46), ISBLANK(I48))), 1, 0)</f>
        <v>0</v>
      </c>
      <c r="B46" s="8"/>
      <c r="C46" s="15"/>
      <c r="D46" s="16">
        <v>13</v>
      </c>
      <c r="E46" s="521" t="s">
        <v>144</v>
      </c>
      <c r="F46" s="521"/>
      <c r="G46" s="521"/>
      <c r="H46" s="521"/>
      <c r="I46" s="519"/>
      <c r="J46" s="519"/>
      <c r="K46" s="519"/>
      <c r="L46" s="519"/>
      <c r="M46" s="519"/>
      <c r="N46" s="520"/>
      <c r="O46" s="520"/>
      <c r="P46" s="520"/>
      <c r="Q46" s="520"/>
      <c r="R46" s="520"/>
      <c r="S46" s="520"/>
      <c r="T46" s="520"/>
      <c r="U46" s="520"/>
      <c r="V46" s="520"/>
      <c r="W46" s="520"/>
      <c r="X46" s="17"/>
    </row>
    <row r="47" spans="1:24" ht="20.100000000000001" customHeight="1">
      <c r="A47" s="8"/>
      <c r="B47" s="8"/>
      <c r="C47" s="15"/>
      <c r="D47" s="16"/>
      <c r="E47" s="521"/>
      <c r="F47" s="521"/>
      <c r="G47" s="521"/>
      <c r="H47" s="521"/>
      <c r="I47" s="48" t="s">
        <v>76</v>
      </c>
      <c r="J47" s="473" t="s">
        <v>437</v>
      </c>
      <c r="K47" s="473"/>
      <c r="L47" s="473"/>
      <c r="M47" s="473"/>
      <c r="N47" s="473"/>
      <c r="O47" s="473"/>
      <c r="P47" s="473"/>
      <c r="Q47" s="473"/>
      <c r="R47" s="473"/>
      <c r="S47" s="473"/>
      <c r="T47" s="473"/>
      <c r="U47" s="473"/>
      <c r="V47" s="473"/>
      <c r="W47" s="473"/>
      <c r="X47" s="17"/>
    </row>
    <row r="48" spans="1:24" ht="20.100000000000001" customHeight="1">
      <c r="A48" s="8">
        <f>IF(AND(OR(I44="会社更生法",I44="民事再生法"), AND(ISBLANK(I46), ISBLANK(I48))), 1, 0)</f>
        <v>0</v>
      </c>
      <c r="B48" s="8"/>
      <c r="C48" s="15"/>
      <c r="D48" s="16">
        <v>14</v>
      </c>
      <c r="E48" s="521" t="s">
        <v>145</v>
      </c>
      <c r="F48" s="521"/>
      <c r="G48" s="521"/>
      <c r="H48" s="521"/>
      <c r="I48" s="519"/>
      <c r="J48" s="519"/>
      <c r="K48" s="519"/>
      <c r="L48" s="519"/>
      <c r="M48" s="519"/>
      <c r="N48" s="520"/>
      <c r="O48" s="520"/>
      <c r="P48" s="520"/>
      <c r="Q48" s="520"/>
      <c r="R48" s="520"/>
      <c r="S48" s="520"/>
      <c r="T48" s="520"/>
      <c r="U48" s="520"/>
      <c r="V48" s="520"/>
      <c r="W48" s="520"/>
      <c r="X48" s="17"/>
    </row>
    <row r="49" spans="1:24" ht="20.100000000000001" customHeight="1">
      <c r="A49" s="8"/>
      <c r="B49" s="8"/>
      <c r="C49" s="15"/>
      <c r="D49" s="16"/>
      <c r="E49" s="521"/>
      <c r="F49" s="521"/>
      <c r="G49" s="521"/>
      <c r="H49" s="521"/>
      <c r="I49" s="48" t="s">
        <v>76</v>
      </c>
      <c r="J49" s="473" t="s">
        <v>437</v>
      </c>
      <c r="K49" s="473"/>
      <c r="L49" s="473"/>
      <c r="M49" s="473"/>
      <c r="N49" s="473"/>
      <c r="O49" s="473"/>
      <c r="P49" s="473"/>
      <c r="Q49" s="473"/>
      <c r="R49" s="473"/>
      <c r="S49" s="473"/>
      <c r="T49" s="473"/>
      <c r="U49" s="473"/>
      <c r="V49" s="473"/>
      <c r="W49" s="473"/>
      <c r="X49" s="17"/>
    </row>
    <row r="50" spans="1:24" ht="5.0999999999999996" customHeight="1">
      <c r="A50" s="8"/>
      <c r="B50" s="8"/>
      <c r="C50" s="24"/>
      <c r="D50" s="25"/>
      <c r="E50" s="738"/>
      <c r="F50" s="738"/>
      <c r="G50" s="738"/>
      <c r="H50" s="738"/>
      <c r="I50" s="45"/>
      <c r="J50" s="45"/>
      <c r="K50" s="45"/>
      <c r="L50" s="83"/>
      <c r="M50" s="45"/>
      <c r="N50" s="45"/>
      <c r="O50" s="45"/>
      <c r="P50" s="45"/>
      <c r="Q50" s="45"/>
      <c r="R50" s="45"/>
      <c r="S50" s="45"/>
      <c r="T50" s="45"/>
      <c r="U50" s="45"/>
      <c r="V50" s="45"/>
      <c r="W50" s="45"/>
      <c r="X50" s="26"/>
    </row>
    <row r="51" spans="1:24" ht="9.9499999999999993" customHeight="1">
      <c r="A51" s="8"/>
      <c r="B51" s="8"/>
      <c r="C51" s="42"/>
      <c r="D51" s="42"/>
      <c r="E51" s="42"/>
      <c r="F51" s="42"/>
      <c r="G51" s="42"/>
      <c r="H51" s="42"/>
      <c r="I51" s="87"/>
      <c r="J51" s="43"/>
      <c r="K51" s="43"/>
      <c r="L51" s="78"/>
      <c r="M51" s="43"/>
      <c r="N51" s="43"/>
      <c r="O51" s="43"/>
      <c r="P51" s="43"/>
      <c r="Q51" s="43"/>
      <c r="R51" s="43"/>
      <c r="S51" s="43"/>
      <c r="T51" s="43"/>
      <c r="U51" s="43"/>
      <c r="V51" s="43"/>
      <c r="W51" s="43"/>
      <c r="X51" s="42"/>
    </row>
    <row r="52" spans="1:24" ht="9.9499999999999993" customHeight="1">
      <c r="A52" s="8"/>
      <c r="B52" s="8"/>
      <c r="C52" s="42"/>
      <c r="D52" s="42"/>
      <c r="E52" s="42"/>
      <c r="F52" s="42"/>
      <c r="G52" s="42"/>
      <c r="H52" s="42"/>
      <c r="I52" s="43"/>
      <c r="J52" s="42"/>
      <c r="K52" s="42"/>
      <c r="L52" s="418"/>
      <c r="M52" s="42"/>
      <c r="N52" s="42"/>
      <c r="O52" s="42"/>
      <c r="P52" s="42"/>
      <c r="Q52" s="42"/>
      <c r="R52" s="42"/>
      <c r="S52" s="42"/>
      <c r="T52" s="42"/>
      <c r="U52" s="42"/>
      <c r="V52" s="42"/>
      <c r="W52" s="42"/>
      <c r="X52" s="42"/>
    </row>
    <row r="53" spans="1:24" ht="20.100000000000001" customHeight="1">
      <c r="A53" s="8"/>
      <c r="B53" s="8"/>
      <c r="C53" s="643" t="s">
        <v>79</v>
      </c>
      <c r="D53" s="644"/>
      <c r="E53" s="644"/>
      <c r="F53" s="644"/>
      <c r="G53" s="644"/>
      <c r="H53" s="645"/>
      <c r="I53" s="88"/>
    </row>
    <row r="54" spans="1:24" ht="8.1" customHeight="1">
      <c r="A54" s="8"/>
      <c r="B54" s="8"/>
      <c r="C54" s="11"/>
      <c r="D54" s="12"/>
      <c r="E54" s="776"/>
      <c r="F54" s="776"/>
      <c r="G54" s="776"/>
      <c r="H54" s="776"/>
      <c r="I54" s="13"/>
      <c r="J54" s="13"/>
      <c r="K54" s="13"/>
      <c r="L54" s="13"/>
      <c r="M54" s="13"/>
      <c r="N54" s="13"/>
      <c r="O54" s="13"/>
      <c r="P54" s="13"/>
      <c r="Q54" s="13"/>
      <c r="R54" s="13"/>
      <c r="S54" s="13"/>
      <c r="T54" s="13"/>
      <c r="U54" s="13"/>
      <c r="V54" s="13"/>
      <c r="W54" s="13"/>
      <c r="X54" s="14"/>
    </row>
    <row r="55" spans="1:24" ht="20.100000000000001" customHeight="1">
      <c r="A55" s="8">
        <f>IF(AND(I55&lt;&gt;"市内", I55&lt;&gt;"県内", I55&lt;&gt;"県外"), IF(AND($I14&lt;&gt;"有", I55=""), 0,102), 0)</f>
        <v>0</v>
      </c>
      <c r="B55" s="8"/>
      <c r="C55" s="15"/>
      <c r="D55" s="16">
        <v>1</v>
      </c>
      <c r="E55" s="490" t="s">
        <v>0</v>
      </c>
      <c r="F55" s="490"/>
      <c r="G55" s="490"/>
      <c r="H55" s="490"/>
      <c r="I55" s="777"/>
      <c r="J55" s="777"/>
      <c r="K55" s="777"/>
      <c r="L55" s="777"/>
      <c r="M55" s="777"/>
      <c r="N55" s="520"/>
      <c r="O55" s="520"/>
      <c r="P55" s="520"/>
      <c r="Q55" s="520"/>
      <c r="R55" s="520"/>
      <c r="S55" s="520"/>
      <c r="T55" s="520"/>
      <c r="U55" s="520"/>
      <c r="V55" s="520"/>
      <c r="W55" s="520"/>
      <c r="X55" s="17"/>
    </row>
    <row r="56" spans="1:24" ht="20.100000000000001" customHeight="1">
      <c r="A56" s="8"/>
      <c r="B56" s="8"/>
      <c r="C56" s="15"/>
      <c r="D56" s="16"/>
      <c r="E56" s="521"/>
      <c r="F56" s="521"/>
      <c r="G56" s="521"/>
      <c r="H56" s="521"/>
      <c r="I56" s="48" t="s">
        <v>76</v>
      </c>
      <c r="J56" s="473" t="s">
        <v>75</v>
      </c>
      <c r="K56" s="473"/>
      <c r="L56" s="473"/>
      <c r="M56" s="473"/>
      <c r="N56" s="473"/>
      <c r="O56" s="473"/>
      <c r="P56" s="473"/>
      <c r="Q56" s="473"/>
      <c r="R56" s="473"/>
      <c r="S56" s="473"/>
      <c r="T56" s="473"/>
      <c r="U56" s="473"/>
      <c r="V56" s="473"/>
      <c r="W56" s="473"/>
      <c r="X56" s="17"/>
    </row>
    <row r="57" spans="1:24" ht="20.100000000000001" customHeight="1">
      <c r="A57" s="8">
        <f>IF(AND(I14="有",ISBLANK(I57)), 1, 0)</f>
        <v>0</v>
      </c>
      <c r="B57" s="8"/>
      <c r="C57" s="15"/>
      <c r="D57" s="16">
        <v>2</v>
      </c>
      <c r="E57" s="490" t="s">
        <v>1</v>
      </c>
      <c r="F57" s="490"/>
      <c r="G57" s="490"/>
      <c r="H57" s="490"/>
      <c r="I57" s="773"/>
      <c r="J57" s="773"/>
      <c r="K57" s="773"/>
      <c r="L57" s="773"/>
      <c r="M57" s="773"/>
      <c r="N57" s="520"/>
      <c r="O57" s="520"/>
      <c r="P57" s="520"/>
      <c r="Q57" s="520"/>
      <c r="R57" s="520"/>
      <c r="S57" s="520"/>
      <c r="T57" s="520"/>
      <c r="U57" s="520"/>
      <c r="V57" s="520"/>
      <c r="W57" s="520"/>
      <c r="X57" s="17"/>
    </row>
    <row r="58" spans="1:24" ht="20.100000000000001" customHeight="1">
      <c r="A58" s="8"/>
      <c r="B58" s="8"/>
      <c r="C58" s="15"/>
      <c r="D58" s="16"/>
      <c r="E58" s="521"/>
      <c r="F58" s="521"/>
      <c r="G58" s="521"/>
      <c r="H58" s="521"/>
      <c r="I58" s="48" t="s">
        <v>77</v>
      </c>
      <c r="J58" s="473" t="s">
        <v>435</v>
      </c>
      <c r="K58" s="473"/>
      <c r="L58" s="473"/>
      <c r="M58" s="473"/>
      <c r="N58" s="473"/>
      <c r="O58" s="473"/>
      <c r="P58" s="473"/>
      <c r="Q58" s="473"/>
      <c r="R58" s="473"/>
      <c r="S58" s="473"/>
      <c r="T58" s="473"/>
      <c r="U58" s="473"/>
      <c r="V58" s="473"/>
      <c r="W58" s="473"/>
      <c r="X58" s="17"/>
    </row>
    <row r="59" spans="1:24" ht="20.100000000000001" customHeight="1">
      <c r="A59" s="8">
        <f>IF(AND(I14="有", AND(I59&lt;&gt;"", OR(ISERROR(FIND("@"&amp;LEFT(I59,3)&amp;"@",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ISERROR(FIND("@"&amp;LEFT(I59,4)&amp;"@","@神奈川県@和歌山県@鹿児島県@"))=FALSE))=FALSE), 1001,0)</f>
        <v>0</v>
      </c>
      <c r="B59" s="8"/>
      <c r="C59" s="15"/>
      <c r="D59" s="16">
        <v>3</v>
      </c>
      <c r="E59" s="490" t="s">
        <v>2</v>
      </c>
      <c r="F59" s="490"/>
      <c r="G59" s="490"/>
      <c r="H59" s="490"/>
      <c r="I59" s="772"/>
      <c r="J59" s="772"/>
      <c r="K59" s="772"/>
      <c r="L59" s="772"/>
      <c r="M59" s="772"/>
      <c r="N59" s="772"/>
      <c r="O59" s="772"/>
      <c r="P59" s="772"/>
      <c r="Q59" s="772"/>
      <c r="R59" s="772"/>
      <c r="S59" s="772"/>
      <c r="T59" s="772"/>
      <c r="U59" s="772"/>
      <c r="V59" s="772"/>
      <c r="W59" s="772"/>
      <c r="X59" s="17"/>
    </row>
    <row r="60" spans="1:24" ht="20.100000000000001" customHeight="1">
      <c r="A60" s="8"/>
      <c r="B60" s="8"/>
      <c r="C60" s="15"/>
      <c r="D60" s="16"/>
      <c r="E60" s="521"/>
      <c r="F60" s="521"/>
      <c r="G60" s="521"/>
      <c r="H60" s="521"/>
      <c r="I60" s="50" t="s">
        <v>395</v>
      </c>
      <c r="J60" s="473" t="s">
        <v>396</v>
      </c>
      <c r="K60" s="473"/>
      <c r="L60" s="473"/>
      <c r="M60" s="473"/>
      <c r="N60" s="473"/>
      <c r="O60" s="473"/>
      <c r="P60" s="473"/>
      <c r="Q60" s="473"/>
      <c r="R60" s="473"/>
      <c r="S60" s="473"/>
      <c r="T60" s="473"/>
      <c r="U60" s="473"/>
      <c r="V60" s="473"/>
      <c r="W60" s="473"/>
      <c r="X60" s="17"/>
    </row>
    <row r="61" spans="1:24" ht="20.100000000000001" customHeight="1">
      <c r="A61" s="8">
        <f>IF(AND(I14="有",ISBLANK(I61)), 1, 0)</f>
        <v>0</v>
      </c>
      <c r="B61" s="8"/>
      <c r="C61" s="15"/>
      <c r="D61" s="16">
        <v>4</v>
      </c>
      <c r="E61" s="490" t="s">
        <v>10</v>
      </c>
      <c r="F61" s="490"/>
      <c r="G61" s="490"/>
      <c r="H61" s="490"/>
      <c r="I61" s="761"/>
      <c r="J61" s="761"/>
      <c r="K61" s="761"/>
      <c r="L61" s="761"/>
      <c r="M61" s="761"/>
      <c r="N61" s="761"/>
      <c r="O61" s="761"/>
      <c r="P61" s="761"/>
      <c r="Q61" s="761"/>
      <c r="R61" s="761"/>
      <c r="S61" s="761"/>
      <c r="T61" s="761"/>
      <c r="U61" s="761"/>
      <c r="V61" s="761"/>
      <c r="W61" s="761"/>
      <c r="X61" s="17"/>
    </row>
    <row r="62" spans="1:24" ht="20.100000000000001" customHeight="1">
      <c r="A62" s="8"/>
      <c r="B62" s="8"/>
      <c r="C62" s="18"/>
      <c r="D62" s="42"/>
      <c r="E62" s="521"/>
      <c r="F62" s="521"/>
      <c r="G62" s="521"/>
      <c r="H62" s="521"/>
      <c r="I62" s="48" t="s">
        <v>77</v>
      </c>
      <c r="J62" s="473" t="s">
        <v>401</v>
      </c>
      <c r="K62" s="473"/>
      <c r="L62" s="473"/>
      <c r="M62" s="473"/>
      <c r="N62" s="473"/>
      <c r="O62" s="473"/>
      <c r="P62" s="473"/>
      <c r="Q62" s="473"/>
      <c r="R62" s="473"/>
      <c r="S62" s="473"/>
      <c r="T62" s="473"/>
      <c r="U62" s="473"/>
      <c r="V62" s="473"/>
      <c r="W62" s="473"/>
      <c r="X62" s="17"/>
    </row>
    <row r="63" spans="1:24" ht="20.100000000000001" customHeight="1">
      <c r="A63" s="8">
        <f>IF(AND(I14="有",ISBLANK(I63)), 1, 0)</f>
        <v>0</v>
      </c>
      <c r="B63" s="8"/>
      <c r="C63" s="15"/>
      <c r="D63" s="16">
        <v>5</v>
      </c>
      <c r="E63" s="490" t="s">
        <v>11</v>
      </c>
      <c r="F63" s="490"/>
      <c r="G63" s="490"/>
      <c r="H63" s="490"/>
      <c r="I63" s="761"/>
      <c r="J63" s="761"/>
      <c r="K63" s="761"/>
      <c r="L63" s="761"/>
      <c r="M63" s="761"/>
      <c r="N63" s="761"/>
      <c r="O63" s="761"/>
      <c r="P63" s="761"/>
      <c r="Q63" s="761"/>
      <c r="R63" s="761"/>
      <c r="S63" s="761"/>
      <c r="T63" s="761"/>
      <c r="U63" s="761"/>
      <c r="V63" s="761"/>
      <c r="W63" s="761"/>
      <c r="X63" s="17"/>
    </row>
    <row r="64" spans="1:24" ht="20.100000000000001" customHeight="1">
      <c r="A64" s="8"/>
      <c r="B64" s="8"/>
      <c r="C64" s="18"/>
      <c r="D64" s="42"/>
      <c r="E64" s="521"/>
      <c r="F64" s="521"/>
      <c r="G64" s="521"/>
      <c r="H64" s="521"/>
      <c r="I64" s="49" t="s">
        <v>77</v>
      </c>
      <c r="J64" s="476" t="s">
        <v>402</v>
      </c>
      <c r="K64" s="476"/>
      <c r="L64" s="476"/>
      <c r="M64" s="476"/>
      <c r="N64" s="476"/>
      <c r="O64" s="476"/>
      <c r="P64" s="476"/>
      <c r="Q64" s="476"/>
      <c r="R64" s="476"/>
      <c r="S64" s="476"/>
      <c r="T64" s="476"/>
      <c r="U64" s="476"/>
      <c r="V64" s="476"/>
      <c r="W64" s="476"/>
      <c r="X64" s="17"/>
    </row>
    <row r="65" spans="1:24" ht="20.100000000000001" customHeight="1">
      <c r="A65" s="8">
        <f>IF(AND(I14="有",ISBLANK(I65)), 1, 0)</f>
        <v>0</v>
      </c>
      <c r="B65" s="8"/>
      <c r="C65" s="15"/>
      <c r="D65" s="16">
        <v>6</v>
      </c>
      <c r="E65" s="490" t="s">
        <v>415</v>
      </c>
      <c r="F65" s="490"/>
      <c r="G65" s="490"/>
      <c r="H65" s="490"/>
      <c r="I65" s="761"/>
      <c r="J65" s="761"/>
      <c r="K65" s="761"/>
      <c r="L65" s="761"/>
      <c r="M65" s="761"/>
      <c r="N65" s="761"/>
      <c r="O65" s="761"/>
      <c r="P65" s="761"/>
      <c r="Q65" s="761"/>
      <c r="R65" s="761"/>
      <c r="S65" s="761"/>
      <c r="T65" s="761"/>
      <c r="U65" s="761"/>
      <c r="V65" s="761"/>
      <c r="W65" s="761"/>
      <c r="X65" s="17"/>
    </row>
    <row r="66" spans="1:24" ht="20.100000000000001" customHeight="1">
      <c r="A66" s="8"/>
      <c r="B66" s="8"/>
      <c r="C66" s="18"/>
      <c r="D66" s="42"/>
      <c r="E66" s="521"/>
      <c r="F66" s="521"/>
      <c r="G66" s="521"/>
      <c r="H66" s="521"/>
      <c r="I66" s="48" t="s">
        <v>77</v>
      </c>
      <c r="J66" s="476" t="s">
        <v>403</v>
      </c>
      <c r="K66" s="476"/>
      <c r="L66" s="476"/>
      <c r="M66" s="476"/>
      <c r="N66" s="476"/>
      <c r="O66" s="476"/>
      <c r="P66" s="476"/>
      <c r="Q66" s="476"/>
      <c r="R66" s="476"/>
      <c r="S66" s="476"/>
      <c r="T66" s="476"/>
      <c r="U66" s="476"/>
      <c r="V66" s="476"/>
      <c r="W66" s="476"/>
      <c r="X66" s="17"/>
    </row>
    <row r="67" spans="1:24" ht="20.100000000000001" customHeight="1">
      <c r="A67" s="8"/>
      <c r="B67" s="8"/>
      <c r="C67" s="15"/>
      <c r="D67" s="16">
        <v>7</v>
      </c>
      <c r="E67" s="490" t="s">
        <v>416</v>
      </c>
      <c r="F67" s="490"/>
      <c r="G67" s="490"/>
      <c r="H67" s="490"/>
      <c r="I67" s="761"/>
      <c r="J67" s="761"/>
      <c r="K67" s="761"/>
      <c r="L67" s="761"/>
      <c r="M67" s="761"/>
      <c r="N67" s="761"/>
      <c r="O67" s="761"/>
      <c r="P67" s="761"/>
      <c r="Q67" s="761"/>
      <c r="R67" s="761"/>
      <c r="S67" s="761"/>
      <c r="T67" s="761"/>
      <c r="U67" s="761"/>
      <c r="V67" s="761"/>
      <c r="W67" s="761"/>
      <c r="X67" s="17"/>
    </row>
    <row r="68" spans="1:24" ht="20.100000000000001" customHeight="1">
      <c r="A68" s="8"/>
      <c r="B68" s="8"/>
      <c r="C68" s="18"/>
      <c r="D68" s="42"/>
      <c r="E68" s="521"/>
      <c r="F68" s="521"/>
      <c r="G68" s="521"/>
      <c r="H68" s="521"/>
      <c r="I68" s="48" t="s">
        <v>77</v>
      </c>
      <c r="J68" s="473" t="s">
        <v>81</v>
      </c>
      <c r="K68" s="473"/>
      <c r="L68" s="473"/>
      <c r="M68" s="473"/>
      <c r="N68" s="473"/>
      <c r="O68" s="473"/>
      <c r="P68" s="473"/>
      <c r="Q68" s="473"/>
      <c r="R68" s="473"/>
      <c r="S68" s="473"/>
      <c r="T68" s="473"/>
      <c r="U68" s="473"/>
      <c r="V68" s="473"/>
      <c r="W68" s="473"/>
      <c r="X68" s="17"/>
    </row>
    <row r="69" spans="1:24" ht="20.100000000000001" customHeight="1">
      <c r="A69" s="8">
        <f>IF(AND(I14="有",ISBLANK(I69)), 1, 0)</f>
        <v>0</v>
      </c>
      <c r="B69" s="8"/>
      <c r="C69" s="15"/>
      <c r="D69" s="16">
        <v>8</v>
      </c>
      <c r="E69" s="490" t="s">
        <v>417</v>
      </c>
      <c r="F69" s="490"/>
      <c r="G69" s="490"/>
      <c r="H69" s="490"/>
      <c r="I69" s="761"/>
      <c r="J69" s="761"/>
      <c r="K69" s="761"/>
      <c r="L69" s="761"/>
      <c r="M69" s="761"/>
      <c r="N69" s="761"/>
      <c r="O69" s="761"/>
      <c r="P69" s="761"/>
      <c r="Q69" s="761"/>
      <c r="R69" s="761"/>
      <c r="S69" s="761"/>
      <c r="T69" s="761"/>
      <c r="U69" s="761"/>
      <c r="V69" s="761"/>
      <c r="W69" s="761"/>
      <c r="X69" s="17"/>
    </row>
    <row r="70" spans="1:24" ht="20.100000000000001" customHeight="1">
      <c r="A70" s="8"/>
      <c r="B70" s="8"/>
      <c r="C70" s="18"/>
      <c r="D70" s="42"/>
      <c r="E70" s="521"/>
      <c r="F70" s="521"/>
      <c r="G70" s="521"/>
      <c r="H70" s="521"/>
      <c r="I70" s="48" t="s">
        <v>77</v>
      </c>
      <c r="J70" s="473" t="s">
        <v>83</v>
      </c>
      <c r="K70" s="473"/>
      <c r="L70" s="473"/>
      <c r="M70" s="473"/>
      <c r="N70" s="473"/>
      <c r="O70" s="473"/>
      <c r="P70" s="473"/>
      <c r="Q70" s="473"/>
      <c r="R70" s="473"/>
      <c r="S70" s="473"/>
      <c r="T70" s="473"/>
      <c r="U70" s="473"/>
      <c r="V70" s="473"/>
      <c r="W70" s="473"/>
      <c r="X70" s="17"/>
    </row>
    <row r="71" spans="1:24" ht="20.100000000000001" customHeight="1">
      <c r="A71" s="8">
        <f>IF(AND(I14="有",ISBLANK(I71)), 1, 0)</f>
        <v>0</v>
      </c>
      <c r="B71" s="8"/>
      <c r="C71" s="15"/>
      <c r="D71" s="16">
        <v>9</v>
      </c>
      <c r="E71" s="490" t="s">
        <v>7</v>
      </c>
      <c r="F71" s="490"/>
      <c r="G71" s="490"/>
      <c r="H71" s="490"/>
      <c r="I71" s="761"/>
      <c r="J71" s="761"/>
      <c r="K71" s="761"/>
      <c r="L71" s="761"/>
      <c r="M71" s="761"/>
      <c r="N71" s="520"/>
      <c r="O71" s="520"/>
      <c r="P71" s="520"/>
      <c r="Q71" s="520"/>
      <c r="R71" s="520"/>
      <c r="S71" s="520"/>
      <c r="T71" s="520"/>
      <c r="U71" s="520"/>
      <c r="V71" s="520"/>
      <c r="W71" s="520"/>
      <c r="X71" s="17"/>
    </row>
    <row r="72" spans="1:24" ht="20.100000000000001" customHeight="1">
      <c r="A72" s="8"/>
      <c r="B72" s="8"/>
      <c r="C72" s="18"/>
      <c r="D72" s="42"/>
      <c r="E72" s="521"/>
      <c r="F72" s="521"/>
      <c r="G72" s="521"/>
      <c r="H72" s="521"/>
      <c r="I72" s="48" t="s">
        <v>77</v>
      </c>
      <c r="J72" s="473" t="s">
        <v>82</v>
      </c>
      <c r="K72" s="473"/>
      <c r="L72" s="473"/>
      <c r="M72" s="473"/>
      <c r="N72" s="473"/>
      <c r="O72" s="473"/>
      <c r="P72" s="473"/>
      <c r="Q72" s="473"/>
      <c r="R72" s="473"/>
      <c r="S72" s="473"/>
      <c r="T72" s="473"/>
      <c r="U72" s="473"/>
      <c r="V72" s="473"/>
      <c r="W72" s="473"/>
      <c r="X72" s="17"/>
    </row>
    <row r="73" spans="1:24" ht="20.100000000000001" customHeight="1">
      <c r="A73" s="8">
        <f>IF(AND(I14="有",ISBLANK(I73)), 1, 0)</f>
        <v>0</v>
      </c>
      <c r="B73" s="8"/>
      <c r="C73" s="15"/>
      <c r="D73" s="16">
        <v>10</v>
      </c>
      <c r="E73" s="490" t="s">
        <v>8</v>
      </c>
      <c r="F73" s="490"/>
      <c r="G73" s="490"/>
      <c r="H73" s="490"/>
      <c r="I73" s="761"/>
      <c r="J73" s="761"/>
      <c r="K73" s="761"/>
      <c r="L73" s="761"/>
      <c r="M73" s="761"/>
      <c r="N73" s="520"/>
      <c r="O73" s="520"/>
      <c r="P73" s="520"/>
      <c r="Q73" s="520"/>
      <c r="R73" s="520"/>
      <c r="S73" s="520"/>
      <c r="T73" s="520"/>
      <c r="U73" s="520"/>
      <c r="V73" s="520"/>
      <c r="W73" s="520"/>
      <c r="X73" s="17"/>
    </row>
    <row r="74" spans="1:24" ht="20.100000000000001" customHeight="1">
      <c r="A74" s="8"/>
      <c r="B74" s="8"/>
      <c r="C74" s="18"/>
      <c r="D74" s="42"/>
      <c r="E74" s="521"/>
      <c r="F74" s="521"/>
      <c r="G74" s="521"/>
      <c r="H74" s="521"/>
      <c r="I74" s="48" t="s">
        <v>77</v>
      </c>
      <c r="J74" s="473" t="s">
        <v>82</v>
      </c>
      <c r="K74" s="473"/>
      <c r="L74" s="473"/>
      <c r="M74" s="473"/>
      <c r="N74" s="473"/>
      <c r="O74" s="473"/>
      <c r="P74" s="473"/>
      <c r="Q74" s="473"/>
      <c r="R74" s="473"/>
      <c r="S74" s="473"/>
      <c r="T74" s="473"/>
      <c r="U74" s="473"/>
      <c r="V74" s="473"/>
      <c r="W74" s="473"/>
      <c r="X74" s="17"/>
    </row>
    <row r="75" spans="1:24" ht="5.0999999999999996" customHeight="1">
      <c r="A75" s="8"/>
      <c r="B75" s="8"/>
      <c r="C75" s="24"/>
      <c r="D75" s="25"/>
      <c r="E75" s="738"/>
      <c r="F75" s="738"/>
      <c r="G75" s="738"/>
      <c r="H75" s="738"/>
      <c r="I75" s="45"/>
      <c r="J75" s="45"/>
      <c r="K75" s="45"/>
      <c r="L75" s="83"/>
      <c r="M75" s="45"/>
      <c r="N75" s="45"/>
      <c r="O75" s="54"/>
      <c r="P75" s="45"/>
      <c r="Q75" s="45"/>
      <c r="R75" s="45"/>
      <c r="S75" s="45"/>
      <c r="T75" s="45"/>
      <c r="U75" s="45"/>
      <c r="V75" s="45"/>
      <c r="W75" s="45"/>
      <c r="X75" s="26"/>
    </row>
    <row r="76" spans="1:24" ht="9.9499999999999993" customHeight="1">
      <c r="A76" s="8"/>
      <c r="B76" s="8"/>
      <c r="C76" s="42"/>
      <c r="D76" s="42"/>
      <c r="E76" s="42"/>
      <c r="F76" s="42"/>
      <c r="G76" s="42"/>
      <c r="H76" s="42"/>
      <c r="I76" s="43"/>
      <c r="J76" s="43"/>
      <c r="K76" s="108"/>
      <c r="L76" s="108"/>
      <c r="M76" s="43"/>
      <c r="N76" s="43"/>
      <c r="O76" s="43"/>
      <c r="P76" s="108"/>
      <c r="Q76" s="43"/>
      <c r="R76" s="43"/>
      <c r="S76" s="43"/>
      <c r="T76" s="43"/>
      <c r="U76" s="43"/>
      <c r="V76" s="43"/>
      <c r="W76" s="43"/>
      <c r="X76" s="42"/>
    </row>
    <row r="77" spans="1:24" ht="9.9499999999999993" customHeight="1">
      <c r="A77" s="8"/>
      <c r="B77" s="8"/>
      <c r="C77" s="42"/>
      <c r="D77" s="42"/>
      <c r="E77" s="42"/>
      <c r="F77" s="42"/>
      <c r="G77" s="42"/>
      <c r="H77" s="42"/>
      <c r="I77" s="89"/>
      <c r="J77" s="42"/>
      <c r="K77" s="42"/>
      <c r="L77" s="418"/>
      <c r="M77" s="42"/>
      <c r="N77" s="42"/>
      <c r="O77" s="42"/>
      <c r="P77" s="42"/>
      <c r="Q77" s="42"/>
      <c r="R77" s="42"/>
      <c r="S77" s="42"/>
      <c r="T77" s="42"/>
      <c r="U77" s="42"/>
      <c r="V77" s="42"/>
      <c r="W77" s="42"/>
      <c r="X77" s="42"/>
    </row>
    <row r="78" spans="1:24" ht="20.100000000000001" customHeight="1">
      <c r="A78" s="8"/>
      <c r="B78" s="8"/>
      <c r="C78" s="643" t="s">
        <v>84</v>
      </c>
      <c r="D78" s="644"/>
      <c r="E78" s="644"/>
      <c r="F78" s="644"/>
      <c r="G78" s="644"/>
      <c r="H78" s="645"/>
    </row>
    <row r="79" spans="1:24" ht="8.1" customHeight="1">
      <c r="A79" s="8"/>
      <c r="B79" s="8"/>
      <c r="C79" s="27"/>
      <c r="D79" s="28"/>
      <c r="E79" s="28"/>
      <c r="F79" s="28"/>
      <c r="G79" s="28"/>
      <c r="H79" s="28"/>
      <c r="I79" s="90"/>
      <c r="J79" s="13"/>
      <c r="K79" s="13"/>
      <c r="L79" s="13"/>
      <c r="M79" s="13"/>
      <c r="N79" s="13"/>
      <c r="O79" s="13"/>
      <c r="P79" s="13"/>
      <c r="Q79" s="13"/>
      <c r="R79" s="13"/>
      <c r="S79" s="13"/>
      <c r="T79" s="13"/>
      <c r="U79" s="13"/>
      <c r="V79" s="13"/>
      <c r="W79" s="13"/>
      <c r="X79" s="14"/>
    </row>
    <row r="80" spans="1:24" ht="20.100000000000001" customHeight="1">
      <c r="A80" s="8"/>
      <c r="B80" s="8"/>
      <c r="C80" s="27"/>
      <c r="D80" s="473" t="s">
        <v>413</v>
      </c>
      <c r="E80" s="473"/>
      <c r="F80" s="473"/>
      <c r="G80" s="473"/>
      <c r="H80" s="473"/>
      <c r="I80" s="775"/>
      <c r="J80" s="473"/>
      <c r="K80" s="473"/>
      <c r="L80" s="473"/>
      <c r="M80" s="473"/>
      <c r="N80" s="473"/>
      <c r="O80" s="775"/>
      <c r="P80" s="473"/>
      <c r="Q80" s="473"/>
      <c r="R80" s="473"/>
      <c r="S80" s="775"/>
      <c r="T80" s="473"/>
      <c r="U80" s="473"/>
      <c r="V80" s="473"/>
      <c r="W80" s="473"/>
      <c r="X80" s="17"/>
    </row>
    <row r="81" spans="1:24" ht="20.100000000000001" customHeight="1">
      <c r="A81" s="8">
        <f>IF(ISBLANK(I81), 1, 0)</f>
        <v>1</v>
      </c>
      <c r="B81" s="8"/>
      <c r="C81" s="15"/>
      <c r="D81" s="16">
        <v>1</v>
      </c>
      <c r="E81" s="490" t="s">
        <v>9</v>
      </c>
      <c r="F81" s="490"/>
      <c r="G81" s="490"/>
      <c r="H81" s="490"/>
      <c r="I81" s="761"/>
      <c r="J81" s="761"/>
      <c r="K81" s="761"/>
      <c r="L81" s="761"/>
      <c r="M81" s="761"/>
      <c r="N81" s="761"/>
      <c r="O81" s="774"/>
      <c r="P81" s="761"/>
      <c r="Q81" s="761"/>
      <c r="R81" s="761"/>
      <c r="S81" s="774"/>
      <c r="T81" s="761"/>
      <c r="U81" s="761"/>
      <c r="V81" s="761"/>
      <c r="W81" s="761"/>
      <c r="X81" s="17"/>
    </row>
    <row r="82" spans="1:24" ht="31.5" customHeight="1">
      <c r="A82" s="8"/>
      <c r="B82" s="8"/>
      <c r="C82" s="15"/>
      <c r="D82" s="16"/>
      <c r="E82" s="521"/>
      <c r="F82" s="521"/>
      <c r="G82" s="521"/>
      <c r="H82" s="521"/>
      <c r="I82" s="52" t="s">
        <v>76</v>
      </c>
      <c r="J82" s="476" t="s">
        <v>404</v>
      </c>
      <c r="K82" s="476"/>
      <c r="L82" s="476"/>
      <c r="M82" s="476"/>
      <c r="N82" s="476"/>
      <c r="O82" s="476"/>
      <c r="P82" s="476"/>
      <c r="Q82" s="476"/>
      <c r="R82" s="476"/>
      <c r="S82" s="476"/>
      <c r="T82" s="476"/>
      <c r="U82" s="476"/>
      <c r="V82" s="476"/>
      <c r="W82" s="476"/>
      <c r="X82" s="17"/>
    </row>
    <row r="83" spans="1:24" ht="20.100000000000001" customHeight="1">
      <c r="A83" s="8"/>
      <c r="B83" s="8"/>
      <c r="C83" s="15"/>
      <c r="D83" s="16">
        <v>2</v>
      </c>
      <c r="E83" s="490" t="s">
        <v>409</v>
      </c>
      <c r="F83" s="490"/>
      <c r="G83" s="490"/>
      <c r="H83" s="490"/>
      <c r="I83" s="761"/>
      <c r="J83" s="761"/>
      <c r="K83" s="761"/>
      <c r="L83" s="761"/>
      <c r="M83" s="761"/>
      <c r="N83" s="761"/>
      <c r="O83" s="774"/>
      <c r="P83" s="761"/>
      <c r="Q83" s="761"/>
      <c r="R83" s="761"/>
      <c r="S83" s="774"/>
      <c r="T83" s="761"/>
      <c r="U83" s="761"/>
      <c r="V83" s="761"/>
      <c r="W83" s="761"/>
      <c r="X83" s="17"/>
    </row>
    <row r="84" spans="1:24" ht="20.100000000000001" customHeight="1">
      <c r="A84" s="8"/>
      <c r="B84" s="8"/>
      <c r="C84" s="15"/>
      <c r="D84" s="16"/>
      <c r="E84" s="521"/>
      <c r="F84" s="521"/>
      <c r="G84" s="521"/>
      <c r="H84" s="521"/>
      <c r="I84" s="52" t="s">
        <v>77</v>
      </c>
      <c r="J84" s="473" t="s">
        <v>81</v>
      </c>
      <c r="K84" s="473"/>
      <c r="L84" s="473"/>
      <c r="M84" s="473"/>
      <c r="N84" s="473"/>
      <c r="O84" s="775"/>
      <c r="P84" s="473"/>
      <c r="Q84" s="473"/>
      <c r="R84" s="473"/>
      <c r="S84" s="775"/>
      <c r="T84" s="473"/>
      <c r="U84" s="473"/>
      <c r="V84" s="473"/>
      <c r="W84" s="473"/>
      <c r="X84" s="17"/>
    </row>
    <row r="85" spans="1:24" ht="20.100000000000001" customHeight="1">
      <c r="A85" s="8">
        <f>IF(ISBLANK(I85), 1, 0)</f>
        <v>1</v>
      </c>
      <c r="B85" s="8"/>
      <c r="C85" s="15"/>
      <c r="D85" s="16">
        <v>3</v>
      </c>
      <c r="E85" s="490" t="s">
        <v>410</v>
      </c>
      <c r="F85" s="490"/>
      <c r="G85" s="490"/>
      <c r="H85" s="490"/>
      <c r="I85" s="761"/>
      <c r="J85" s="761"/>
      <c r="K85" s="761"/>
      <c r="L85" s="761"/>
      <c r="M85" s="761"/>
      <c r="N85" s="761"/>
      <c r="O85" s="774"/>
      <c r="P85" s="761"/>
      <c r="Q85" s="761"/>
      <c r="R85" s="761"/>
      <c r="S85" s="774"/>
      <c r="T85" s="761"/>
      <c r="U85" s="761"/>
      <c r="V85" s="761"/>
      <c r="W85" s="761"/>
      <c r="X85" s="17"/>
    </row>
    <row r="86" spans="1:24" ht="20.100000000000001" customHeight="1">
      <c r="A86" s="8"/>
      <c r="B86" s="8"/>
      <c r="C86" s="15"/>
      <c r="D86" s="16"/>
      <c r="E86" s="521"/>
      <c r="F86" s="521"/>
      <c r="G86" s="521"/>
      <c r="H86" s="521"/>
      <c r="I86" s="50" t="s">
        <v>77</v>
      </c>
      <c r="J86" s="473" t="s">
        <v>83</v>
      </c>
      <c r="K86" s="473"/>
      <c r="L86" s="473"/>
      <c r="M86" s="473"/>
      <c r="N86" s="473"/>
      <c r="O86" s="473"/>
      <c r="P86" s="473"/>
      <c r="Q86" s="473"/>
      <c r="R86" s="473"/>
      <c r="S86" s="473"/>
      <c r="T86" s="473"/>
      <c r="U86" s="473"/>
      <c r="V86" s="473"/>
      <c r="W86" s="473"/>
      <c r="X86" s="17"/>
    </row>
    <row r="87" spans="1:24" ht="20.100000000000001" customHeight="1">
      <c r="A87" s="8">
        <f>IF(ISBLANK(I87), 1, 0)</f>
        <v>1</v>
      </c>
      <c r="B87" s="8"/>
      <c r="C87" s="15"/>
      <c r="D87" s="16">
        <v>4</v>
      </c>
      <c r="E87" s="490" t="s">
        <v>7</v>
      </c>
      <c r="F87" s="490"/>
      <c r="G87" s="490"/>
      <c r="H87" s="490"/>
      <c r="I87" s="761"/>
      <c r="J87" s="761"/>
      <c r="K87" s="761"/>
      <c r="L87" s="761"/>
      <c r="M87" s="761"/>
      <c r="N87" s="520"/>
      <c r="O87" s="520"/>
      <c r="P87" s="520"/>
      <c r="Q87" s="520"/>
      <c r="R87" s="520"/>
      <c r="S87" s="520"/>
      <c r="T87" s="520"/>
      <c r="U87" s="520"/>
      <c r="V87" s="520"/>
      <c r="W87" s="520"/>
      <c r="X87" s="17"/>
    </row>
    <row r="88" spans="1:24" ht="20.100000000000001" customHeight="1">
      <c r="A88" s="8"/>
      <c r="B88" s="8"/>
      <c r="C88" s="18"/>
      <c r="D88" s="42"/>
      <c r="E88" s="521"/>
      <c r="F88" s="521"/>
      <c r="G88" s="521"/>
      <c r="H88" s="521"/>
      <c r="I88" s="50" t="s">
        <v>77</v>
      </c>
      <c r="J88" s="473" t="s">
        <v>82</v>
      </c>
      <c r="K88" s="473"/>
      <c r="L88" s="473"/>
      <c r="M88" s="473"/>
      <c r="N88" s="473"/>
      <c r="O88" s="473"/>
      <c r="P88" s="473"/>
      <c r="Q88" s="473"/>
      <c r="R88" s="473"/>
      <c r="S88" s="473"/>
      <c r="T88" s="473"/>
      <c r="U88" s="473"/>
      <c r="V88" s="473"/>
      <c r="W88" s="473"/>
      <c r="X88" s="17"/>
    </row>
    <row r="89" spans="1:24" ht="20.100000000000001" customHeight="1">
      <c r="A89" s="8"/>
      <c r="B89" s="8"/>
      <c r="C89" s="15"/>
      <c r="D89" s="16">
        <v>5</v>
      </c>
      <c r="E89" s="490" t="s">
        <v>8</v>
      </c>
      <c r="F89" s="490"/>
      <c r="G89" s="490"/>
      <c r="H89" s="490"/>
      <c r="I89" s="761"/>
      <c r="J89" s="761"/>
      <c r="K89" s="761"/>
      <c r="L89" s="761"/>
      <c r="M89" s="761"/>
      <c r="N89" s="520"/>
      <c r="O89" s="520"/>
      <c r="P89" s="520"/>
      <c r="Q89" s="520"/>
      <c r="R89" s="520"/>
      <c r="S89" s="520"/>
      <c r="T89" s="520"/>
      <c r="U89" s="520"/>
      <c r="V89" s="520"/>
      <c r="W89" s="520"/>
      <c r="X89" s="17"/>
    </row>
    <row r="90" spans="1:24" ht="20.100000000000001" customHeight="1">
      <c r="A90" s="8"/>
      <c r="B90" s="8"/>
      <c r="C90" s="18"/>
      <c r="D90" s="42"/>
      <c r="E90" s="521"/>
      <c r="F90" s="521"/>
      <c r="G90" s="521"/>
      <c r="H90" s="521"/>
      <c r="I90" s="50" t="s">
        <v>77</v>
      </c>
      <c r="J90" s="473" t="s">
        <v>82</v>
      </c>
      <c r="K90" s="473"/>
      <c r="L90" s="473"/>
      <c r="M90" s="473"/>
      <c r="N90" s="473"/>
      <c r="O90" s="473"/>
      <c r="P90" s="473"/>
      <c r="Q90" s="473"/>
      <c r="R90" s="473"/>
      <c r="S90" s="473"/>
      <c r="T90" s="473"/>
      <c r="U90" s="473"/>
      <c r="V90" s="473"/>
      <c r="W90" s="473"/>
      <c r="X90" s="17"/>
    </row>
    <row r="91" spans="1:24" ht="20.100000000000001" customHeight="1">
      <c r="A91" s="8"/>
      <c r="B91" s="8"/>
      <c r="C91" s="15"/>
      <c r="D91" s="16">
        <v>6</v>
      </c>
      <c r="E91" s="490" t="s">
        <v>66</v>
      </c>
      <c r="F91" s="490"/>
      <c r="G91" s="490"/>
      <c r="H91" s="490"/>
      <c r="I91" s="761"/>
      <c r="J91" s="761"/>
      <c r="K91" s="761"/>
      <c r="L91" s="761"/>
      <c r="M91" s="761"/>
      <c r="N91" s="761"/>
      <c r="O91" s="761"/>
      <c r="P91" s="761"/>
      <c r="Q91" s="761"/>
      <c r="R91" s="761"/>
      <c r="S91" s="761"/>
      <c r="T91" s="761"/>
      <c r="U91" s="761"/>
      <c r="V91" s="761"/>
      <c r="W91" s="761"/>
      <c r="X91" s="17"/>
    </row>
    <row r="92" spans="1:24" ht="20.100000000000001" customHeight="1">
      <c r="A92" s="8"/>
      <c r="B92" s="8"/>
      <c r="C92" s="18"/>
      <c r="D92" s="42"/>
      <c r="E92" s="42"/>
      <c r="F92" s="42"/>
      <c r="G92" s="42"/>
      <c r="H92" s="42"/>
      <c r="I92" s="48" t="s">
        <v>77</v>
      </c>
      <c r="J92" s="476" t="s">
        <v>419</v>
      </c>
      <c r="K92" s="476"/>
      <c r="L92" s="476"/>
      <c r="M92" s="476"/>
      <c r="N92" s="476"/>
      <c r="O92" s="476"/>
      <c r="P92" s="476"/>
      <c r="Q92" s="476"/>
      <c r="R92" s="476"/>
      <c r="S92" s="476"/>
      <c r="T92" s="476"/>
      <c r="U92" s="476"/>
      <c r="V92" s="476"/>
      <c r="W92" s="476"/>
      <c r="X92" s="17"/>
    </row>
    <row r="93" spans="1:24" ht="5.0999999999999996" customHeight="1">
      <c r="A93" s="8"/>
      <c r="B93" s="8"/>
      <c r="C93" s="24"/>
      <c r="D93" s="25"/>
      <c r="E93" s="25"/>
      <c r="F93" s="25"/>
      <c r="G93" s="25"/>
      <c r="H93" s="25"/>
      <c r="I93" s="45"/>
      <c r="J93" s="45"/>
      <c r="K93" s="45"/>
      <c r="L93" s="83"/>
      <c r="M93" s="45"/>
      <c r="N93" s="45"/>
      <c r="O93" s="45"/>
      <c r="P93" s="45"/>
      <c r="Q93" s="45"/>
      <c r="R93" s="45"/>
      <c r="S93" s="45"/>
      <c r="T93" s="45"/>
      <c r="U93" s="45"/>
      <c r="V93" s="45"/>
      <c r="W93" s="45"/>
      <c r="X93" s="26"/>
    </row>
    <row r="94" spans="1:24" ht="9.9499999999999993" customHeight="1">
      <c r="A94" s="8"/>
      <c r="B94" s="8"/>
      <c r="C94" s="42"/>
      <c r="D94" s="42"/>
      <c r="E94" s="42"/>
      <c r="F94" s="42"/>
      <c r="G94" s="42"/>
      <c r="H94" s="42"/>
      <c r="I94" s="91"/>
      <c r="J94" s="43"/>
      <c r="K94" s="43"/>
      <c r="L94" s="78"/>
      <c r="M94" s="43"/>
      <c r="N94" s="43"/>
      <c r="O94" s="43"/>
      <c r="P94" s="43"/>
      <c r="Q94" s="43"/>
      <c r="R94" s="43"/>
      <c r="S94" s="43"/>
      <c r="T94" s="43"/>
      <c r="U94" s="43"/>
      <c r="V94" s="43"/>
      <c r="W94" s="43"/>
      <c r="X94" s="42"/>
    </row>
    <row r="95" spans="1:24" ht="9.9499999999999993" customHeight="1">
      <c r="A95" s="8"/>
      <c r="B95" s="8"/>
      <c r="C95" s="42"/>
      <c r="D95" s="42"/>
      <c r="E95" s="42"/>
      <c r="F95" s="42"/>
      <c r="G95" s="42"/>
      <c r="H95" s="42"/>
      <c r="I95" s="43"/>
      <c r="J95" s="42"/>
      <c r="K95" s="42"/>
      <c r="L95" s="418"/>
      <c r="M95" s="42"/>
      <c r="N95" s="42"/>
      <c r="O95" s="42"/>
      <c r="P95" s="42"/>
      <c r="Q95" s="42"/>
      <c r="R95" s="42"/>
      <c r="S95" s="42"/>
      <c r="T95" s="42"/>
      <c r="U95" s="42"/>
      <c r="V95" s="42"/>
      <c r="W95" s="42"/>
      <c r="X95" s="42"/>
    </row>
    <row r="96" spans="1:24" ht="20.100000000000001" customHeight="1">
      <c r="A96" s="8"/>
      <c r="B96" s="8"/>
      <c r="C96" s="643" t="s">
        <v>85</v>
      </c>
      <c r="D96" s="644"/>
      <c r="E96" s="644"/>
      <c r="F96" s="644"/>
      <c r="G96" s="644"/>
      <c r="H96" s="645"/>
      <c r="I96" s="92"/>
    </row>
    <row r="97" spans="1:24" ht="8.1" customHeight="1">
      <c r="A97" s="8"/>
      <c r="B97" s="8"/>
      <c r="C97" s="11"/>
      <c r="D97" s="12"/>
      <c r="E97" s="12"/>
      <c r="F97" s="12"/>
      <c r="G97" s="12"/>
      <c r="H97" s="12"/>
      <c r="I97" s="13"/>
      <c r="J97" s="13"/>
      <c r="K97" s="13"/>
      <c r="L97" s="13"/>
      <c r="M97" s="13"/>
      <c r="N97" s="13"/>
      <c r="O97" s="13"/>
      <c r="P97" s="13"/>
      <c r="Q97" s="13"/>
      <c r="R97" s="13"/>
      <c r="S97" s="13"/>
      <c r="T97" s="13"/>
      <c r="U97" s="13"/>
      <c r="V97" s="13"/>
      <c r="W97" s="13"/>
      <c r="X97" s="14"/>
    </row>
    <row r="98" spans="1:24" ht="20.100000000000001" customHeight="1">
      <c r="A98" s="8">
        <f>IF(AND(I16="有",ISBLANK(I98)), 1, 0)</f>
        <v>0</v>
      </c>
      <c r="B98" s="8"/>
      <c r="C98" s="15"/>
      <c r="D98" s="16">
        <v>1</v>
      </c>
      <c r="E98" s="490" t="s">
        <v>1</v>
      </c>
      <c r="F98" s="490"/>
      <c r="G98" s="490"/>
      <c r="H98" s="490"/>
      <c r="I98" s="773"/>
      <c r="J98" s="773"/>
      <c r="K98" s="773"/>
      <c r="L98" s="773"/>
      <c r="M98" s="773"/>
      <c r="N98" s="520"/>
      <c r="O98" s="520"/>
      <c r="P98" s="520"/>
      <c r="Q98" s="520"/>
      <c r="R98" s="520"/>
      <c r="S98" s="520"/>
      <c r="T98" s="520"/>
      <c r="U98" s="520"/>
      <c r="V98" s="520"/>
      <c r="W98" s="520"/>
      <c r="X98" s="17"/>
    </row>
    <row r="99" spans="1:24" ht="20.100000000000001" customHeight="1">
      <c r="A99" s="8"/>
      <c r="B99" s="8"/>
      <c r="C99" s="15"/>
      <c r="D99" s="16"/>
      <c r="E99" s="521"/>
      <c r="F99" s="521"/>
      <c r="G99" s="521"/>
      <c r="H99" s="521"/>
      <c r="I99" s="51" t="s">
        <v>77</v>
      </c>
      <c r="J99" s="473" t="s">
        <v>435</v>
      </c>
      <c r="K99" s="473"/>
      <c r="L99" s="473"/>
      <c r="M99" s="473"/>
      <c r="N99" s="473"/>
      <c r="O99" s="473"/>
      <c r="P99" s="473"/>
      <c r="Q99" s="473"/>
      <c r="R99" s="473"/>
      <c r="S99" s="473"/>
      <c r="T99" s="473"/>
      <c r="U99" s="473"/>
      <c r="V99" s="473"/>
      <c r="W99" s="473"/>
      <c r="X99" s="17"/>
    </row>
    <row r="100" spans="1:24" ht="20.100000000000001" customHeight="1">
      <c r="A100" s="8">
        <f>IF(AND(I16="有", AND(I100&lt;&gt;"", OR(ISERROR(FIND("@"&amp;LEFT(I100,3)&amp;"@",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ISERROR(FIND("@"&amp;LEFT(I100,4)&amp;"@","@神奈川県@和歌山県@鹿児島県@"))=FALSE))=FALSE), 1001,0)</f>
        <v>0</v>
      </c>
      <c r="B100" s="8"/>
      <c r="C100" s="15"/>
      <c r="D100" s="16">
        <v>2</v>
      </c>
      <c r="E100" s="490" t="s">
        <v>2</v>
      </c>
      <c r="F100" s="490"/>
      <c r="G100" s="490"/>
      <c r="H100" s="490"/>
      <c r="I100" s="772"/>
      <c r="J100" s="772"/>
      <c r="K100" s="772"/>
      <c r="L100" s="772"/>
      <c r="M100" s="772"/>
      <c r="N100" s="772"/>
      <c r="O100" s="772"/>
      <c r="P100" s="772"/>
      <c r="Q100" s="772"/>
      <c r="R100" s="772"/>
      <c r="S100" s="772"/>
      <c r="T100" s="772"/>
      <c r="U100" s="772"/>
      <c r="V100" s="772"/>
      <c r="W100" s="772"/>
      <c r="X100" s="17"/>
    </row>
    <row r="101" spans="1:24" ht="20.100000000000001" customHeight="1">
      <c r="A101" s="8"/>
      <c r="B101" s="8"/>
      <c r="C101" s="15"/>
      <c r="D101" s="16"/>
      <c r="E101" s="521"/>
      <c r="F101" s="521"/>
      <c r="G101" s="521"/>
      <c r="H101" s="521"/>
      <c r="I101" s="50" t="s">
        <v>395</v>
      </c>
      <c r="J101" s="473" t="s">
        <v>396</v>
      </c>
      <c r="K101" s="473"/>
      <c r="L101" s="473"/>
      <c r="M101" s="473"/>
      <c r="N101" s="473"/>
      <c r="O101" s="473"/>
      <c r="P101" s="473"/>
      <c r="Q101" s="473"/>
      <c r="R101" s="473"/>
      <c r="S101" s="473"/>
      <c r="T101" s="473"/>
      <c r="U101" s="473"/>
      <c r="V101" s="473"/>
      <c r="W101" s="473"/>
      <c r="X101" s="17"/>
    </row>
    <row r="102" spans="1:24" ht="20.100000000000001" customHeight="1">
      <c r="A102" s="8"/>
      <c r="B102" s="8"/>
      <c r="C102" s="15"/>
      <c r="D102" s="16">
        <v>3</v>
      </c>
      <c r="E102" s="490" t="s">
        <v>12</v>
      </c>
      <c r="F102" s="490"/>
      <c r="G102" s="490"/>
      <c r="H102" s="490"/>
      <c r="I102" s="761"/>
      <c r="J102" s="761"/>
      <c r="K102" s="761"/>
      <c r="L102" s="761"/>
      <c r="M102" s="761"/>
      <c r="N102" s="761"/>
      <c r="O102" s="761"/>
      <c r="P102" s="761"/>
      <c r="Q102" s="761"/>
      <c r="R102" s="761"/>
      <c r="S102" s="761"/>
      <c r="T102" s="761"/>
      <c r="U102" s="761"/>
      <c r="V102" s="761"/>
      <c r="W102" s="761"/>
      <c r="X102" s="17"/>
    </row>
    <row r="103" spans="1:24" ht="20.100000000000001" customHeight="1">
      <c r="A103" s="8"/>
      <c r="B103" s="8"/>
      <c r="C103" s="15"/>
      <c r="D103" s="16"/>
      <c r="E103" s="521"/>
      <c r="F103" s="521"/>
      <c r="G103" s="521"/>
      <c r="H103" s="521"/>
      <c r="I103" s="50" t="s">
        <v>77</v>
      </c>
      <c r="J103" s="473" t="s">
        <v>81</v>
      </c>
      <c r="K103" s="473"/>
      <c r="L103" s="473"/>
      <c r="M103" s="473"/>
      <c r="N103" s="473"/>
      <c r="O103" s="473"/>
      <c r="P103" s="473"/>
      <c r="Q103" s="473"/>
      <c r="R103" s="473"/>
      <c r="S103" s="473"/>
      <c r="T103" s="473"/>
      <c r="U103" s="473"/>
      <c r="V103" s="473"/>
      <c r="W103" s="473"/>
      <c r="X103" s="17"/>
    </row>
    <row r="104" spans="1:24" ht="20.100000000000001" customHeight="1">
      <c r="A104" s="8">
        <f>IF(AND(I16="有",ISBLANK(I104)), 1, 0)</f>
        <v>0</v>
      </c>
      <c r="B104" s="8"/>
      <c r="C104" s="15"/>
      <c r="D104" s="16">
        <v>4</v>
      </c>
      <c r="E104" s="490" t="s">
        <v>13</v>
      </c>
      <c r="F104" s="490"/>
      <c r="G104" s="490"/>
      <c r="H104" s="490"/>
      <c r="I104" s="761"/>
      <c r="J104" s="761"/>
      <c r="K104" s="761"/>
      <c r="L104" s="761"/>
      <c r="M104" s="761"/>
      <c r="N104" s="761"/>
      <c r="O104" s="761"/>
      <c r="P104" s="761"/>
      <c r="Q104" s="761"/>
      <c r="R104" s="761"/>
      <c r="S104" s="761"/>
      <c r="T104" s="761"/>
      <c r="U104" s="761"/>
      <c r="V104" s="761"/>
      <c r="W104" s="761"/>
      <c r="X104" s="17"/>
    </row>
    <row r="105" spans="1:24" ht="20.100000000000001" customHeight="1">
      <c r="A105" s="8"/>
      <c r="B105" s="8"/>
      <c r="C105" s="18"/>
      <c r="D105" s="42"/>
      <c r="E105" s="521"/>
      <c r="F105" s="521"/>
      <c r="G105" s="521"/>
      <c r="H105" s="521"/>
      <c r="I105" s="50" t="s">
        <v>77</v>
      </c>
      <c r="J105" s="473" t="s">
        <v>83</v>
      </c>
      <c r="K105" s="473"/>
      <c r="L105" s="473"/>
      <c r="M105" s="473"/>
      <c r="N105" s="473"/>
      <c r="O105" s="473"/>
      <c r="P105" s="473"/>
      <c r="Q105" s="473"/>
      <c r="R105" s="473"/>
      <c r="S105" s="473"/>
      <c r="T105" s="473"/>
      <c r="U105" s="473"/>
      <c r="V105" s="473"/>
      <c r="W105" s="473"/>
      <c r="X105" s="17"/>
    </row>
    <row r="106" spans="1:24" ht="20.100000000000001" customHeight="1">
      <c r="A106" s="8">
        <f>IF(AND(I16="有",ISBLANK(I106)), 1, 0)</f>
        <v>0</v>
      </c>
      <c r="B106" s="8"/>
      <c r="C106" s="15"/>
      <c r="D106" s="16">
        <v>5</v>
      </c>
      <c r="E106" s="490" t="s">
        <v>7</v>
      </c>
      <c r="F106" s="490"/>
      <c r="G106" s="490"/>
      <c r="H106" s="490"/>
      <c r="I106" s="761"/>
      <c r="J106" s="761"/>
      <c r="K106" s="761"/>
      <c r="L106" s="761"/>
      <c r="M106" s="761"/>
      <c r="N106" s="520"/>
      <c r="O106" s="520"/>
      <c r="P106" s="520"/>
      <c r="Q106" s="520"/>
      <c r="R106" s="520"/>
      <c r="S106" s="520"/>
      <c r="T106" s="520"/>
      <c r="U106" s="520"/>
      <c r="V106" s="520"/>
      <c r="W106" s="520"/>
      <c r="X106" s="17"/>
    </row>
    <row r="107" spans="1:24" ht="20.100000000000001" customHeight="1">
      <c r="A107" s="8"/>
      <c r="B107" s="8"/>
      <c r="C107" s="18"/>
      <c r="D107" s="42"/>
      <c r="E107" s="521"/>
      <c r="F107" s="521"/>
      <c r="G107" s="521"/>
      <c r="H107" s="521"/>
      <c r="I107" s="50" t="s">
        <v>77</v>
      </c>
      <c r="J107" s="473" t="s">
        <v>82</v>
      </c>
      <c r="K107" s="473"/>
      <c r="L107" s="473"/>
      <c r="M107" s="473"/>
      <c r="N107" s="473"/>
      <c r="O107" s="473"/>
      <c r="P107" s="473"/>
      <c r="Q107" s="473"/>
      <c r="R107" s="473"/>
      <c r="S107" s="473"/>
      <c r="T107" s="473"/>
      <c r="U107" s="473"/>
      <c r="V107" s="473"/>
      <c r="W107" s="473"/>
      <c r="X107" s="17"/>
    </row>
    <row r="108" spans="1:24" ht="20.100000000000001" customHeight="1">
      <c r="A108" s="8"/>
      <c r="B108" s="8"/>
      <c r="C108" s="15"/>
      <c r="D108" s="16">
        <v>6</v>
      </c>
      <c r="E108" s="490" t="s">
        <v>8</v>
      </c>
      <c r="F108" s="490"/>
      <c r="G108" s="490"/>
      <c r="H108" s="490"/>
      <c r="I108" s="761"/>
      <c r="J108" s="761"/>
      <c r="K108" s="761"/>
      <c r="L108" s="761"/>
      <c r="M108" s="761"/>
      <c r="N108" s="520"/>
      <c r="O108" s="520"/>
      <c r="P108" s="520"/>
      <c r="Q108" s="520"/>
      <c r="R108" s="520"/>
      <c r="S108" s="520"/>
      <c r="T108" s="520"/>
      <c r="U108" s="520"/>
      <c r="V108" s="520"/>
      <c r="W108" s="520"/>
      <c r="X108" s="17"/>
    </row>
    <row r="109" spans="1:24" ht="20.100000000000001" customHeight="1">
      <c r="A109" s="8"/>
      <c r="B109" s="8"/>
      <c r="C109" s="18"/>
      <c r="D109" s="42"/>
      <c r="E109" s="521"/>
      <c r="F109" s="521"/>
      <c r="G109" s="521"/>
      <c r="H109" s="521"/>
      <c r="I109" s="50" t="s">
        <v>77</v>
      </c>
      <c r="J109" s="473" t="s">
        <v>82</v>
      </c>
      <c r="K109" s="473"/>
      <c r="L109" s="473"/>
      <c r="M109" s="473"/>
      <c r="N109" s="473"/>
      <c r="O109" s="473"/>
      <c r="P109" s="473"/>
      <c r="Q109" s="473"/>
      <c r="R109" s="473"/>
      <c r="S109" s="473"/>
      <c r="T109" s="473"/>
      <c r="U109" s="473"/>
      <c r="V109" s="473"/>
      <c r="W109" s="473"/>
      <c r="X109" s="17"/>
    </row>
    <row r="110" spans="1:24" ht="5.0999999999999996" customHeight="1">
      <c r="A110" s="8"/>
      <c r="B110" s="8"/>
      <c r="C110" s="24"/>
      <c r="D110" s="25"/>
      <c r="E110" s="738"/>
      <c r="F110" s="738"/>
      <c r="G110" s="738"/>
      <c r="H110" s="738"/>
      <c r="I110" s="45"/>
      <c r="J110" s="45"/>
      <c r="K110" s="45"/>
      <c r="L110" s="83"/>
      <c r="M110" s="45"/>
      <c r="N110" s="45"/>
      <c r="O110" s="45"/>
      <c r="P110" s="45"/>
      <c r="Q110" s="45"/>
      <c r="R110" s="45"/>
      <c r="S110" s="45"/>
      <c r="T110" s="45"/>
      <c r="U110" s="45"/>
      <c r="V110" s="45"/>
      <c r="W110" s="45"/>
      <c r="X110" s="26"/>
    </row>
    <row r="111" spans="1:24" ht="9.9499999999999993" customHeight="1">
      <c r="A111" s="8"/>
      <c r="B111" s="8"/>
      <c r="C111" s="42"/>
      <c r="D111" s="42"/>
      <c r="E111" s="42"/>
      <c r="F111" s="42"/>
      <c r="G111" s="42"/>
      <c r="H111" s="42"/>
      <c r="I111" s="93"/>
      <c r="J111" s="43"/>
      <c r="K111" s="43"/>
      <c r="L111" s="78"/>
      <c r="M111" s="43"/>
      <c r="N111" s="43"/>
      <c r="O111" s="43"/>
      <c r="P111" s="43"/>
      <c r="Q111" s="43"/>
      <c r="R111" s="43"/>
      <c r="S111" s="43"/>
      <c r="T111" s="43"/>
      <c r="U111" s="43"/>
      <c r="V111" s="43"/>
      <c r="W111" s="43"/>
      <c r="X111" s="42"/>
    </row>
    <row r="112" spans="1:24" s="33" customFormat="1" ht="9.9499999999999993" customHeight="1">
      <c r="A112" s="8"/>
      <c r="B112" s="8"/>
      <c r="C112" s="42"/>
      <c r="D112" s="42"/>
      <c r="E112" s="42"/>
      <c r="F112" s="42"/>
      <c r="G112" s="42"/>
      <c r="H112" s="42"/>
      <c r="I112" s="43"/>
      <c r="J112" s="42"/>
      <c r="K112" s="42"/>
      <c r="L112" s="418"/>
      <c r="M112" s="42"/>
      <c r="N112" s="42"/>
      <c r="O112" s="42"/>
      <c r="P112" s="42"/>
      <c r="Q112" s="42"/>
      <c r="R112" s="42"/>
      <c r="S112" s="42"/>
      <c r="T112" s="42"/>
      <c r="U112" s="42"/>
      <c r="V112" s="42"/>
      <c r="W112" s="42"/>
      <c r="X112" s="42"/>
    </row>
    <row r="113" spans="1:25" s="33" customFormat="1" ht="20.100000000000001" customHeight="1">
      <c r="A113" s="8"/>
      <c r="B113" s="8"/>
      <c r="C113" s="643" t="s">
        <v>95</v>
      </c>
      <c r="D113" s="644"/>
      <c r="E113" s="644"/>
      <c r="F113" s="644"/>
      <c r="G113" s="644"/>
      <c r="H113" s="645"/>
      <c r="I113" s="92"/>
    </row>
    <row r="114" spans="1:25" s="33" customFormat="1" ht="8.1" customHeight="1">
      <c r="A114" s="8"/>
      <c r="B114" s="8"/>
      <c r="C114" s="11"/>
      <c r="D114" s="12"/>
      <c r="E114" s="12"/>
      <c r="F114" s="12"/>
      <c r="G114" s="12"/>
      <c r="H114" s="12"/>
      <c r="I114" s="13"/>
      <c r="J114" s="13"/>
      <c r="K114" s="13"/>
      <c r="L114" s="13"/>
      <c r="M114" s="13"/>
      <c r="N114" s="13"/>
      <c r="O114" s="13"/>
      <c r="P114" s="13"/>
      <c r="Q114" s="13"/>
      <c r="R114" s="13"/>
      <c r="S114" s="13"/>
      <c r="T114" s="13"/>
      <c r="U114" s="13"/>
      <c r="V114" s="13"/>
      <c r="W114" s="13"/>
      <c r="X114" s="14"/>
    </row>
    <row r="115" spans="1:25" s="33" customFormat="1" ht="20.100000000000001" customHeight="1">
      <c r="A115" s="8">
        <f>IF(ISBLANK(I115), 1, 0)</f>
        <v>1</v>
      </c>
      <c r="B115" s="8"/>
      <c r="C115" s="15"/>
      <c r="D115" s="16">
        <v>1</v>
      </c>
      <c r="E115" s="490" t="s">
        <v>260</v>
      </c>
      <c r="F115" s="490"/>
      <c r="G115" s="490"/>
      <c r="H115" s="490"/>
      <c r="I115" s="762"/>
      <c r="J115" s="762"/>
      <c r="K115" s="762"/>
      <c r="L115" s="762"/>
      <c r="M115" s="762"/>
      <c r="N115" s="520" t="s">
        <v>397</v>
      </c>
      <c r="O115" s="765"/>
      <c r="P115" s="520"/>
      <c r="Q115" s="520"/>
      <c r="R115" s="520"/>
      <c r="S115" s="520"/>
      <c r="T115" s="520"/>
      <c r="U115" s="520"/>
      <c r="V115" s="520"/>
      <c r="W115" s="520"/>
      <c r="X115" s="17"/>
    </row>
    <row r="116" spans="1:25" s="33" customFormat="1" ht="30" customHeight="1">
      <c r="A116" s="8"/>
      <c r="B116" s="8"/>
      <c r="C116" s="15"/>
      <c r="D116" s="16"/>
      <c r="E116" s="763"/>
      <c r="F116" s="521"/>
      <c r="G116" s="521"/>
      <c r="H116" s="763"/>
      <c r="I116" s="52" t="s">
        <v>77</v>
      </c>
      <c r="J116" s="476" t="s">
        <v>405</v>
      </c>
      <c r="K116" s="764"/>
      <c r="L116" s="764"/>
      <c r="M116" s="476"/>
      <c r="N116" s="476"/>
      <c r="O116" s="476"/>
      <c r="P116" s="476"/>
      <c r="Q116" s="476"/>
      <c r="R116" s="476"/>
      <c r="S116" s="476"/>
      <c r="T116" s="476"/>
      <c r="U116" s="476"/>
      <c r="V116" s="476"/>
      <c r="W116" s="476"/>
      <c r="X116" s="17"/>
    </row>
    <row r="117" spans="1:25" s="33" customFormat="1" ht="20.100000000000001" customHeight="1">
      <c r="A117" s="8">
        <f>IF(ISBLANK(I117), 1, 0)</f>
        <v>1</v>
      </c>
      <c r="B117" s="8"/>
      <c r="C117" s="15"/>
      <c r="D117" s="16">
        <v>2</v>
      </c>
      <c r="E117" s="782" t="s">
        <v>96</v>
      </c>
      <c r="F117" s="490"/>
      <c r="G117" s="490"/>
      <c r="H117" s="782"/>
      <c r="I117" s="762"/>
      <c r="J117" s="762"/>
      <c r="K117" s="783"/>
      <c r="L117" s="783"/>
      <c r="M117" s="762"/>
      <c r="N117" s="520" t="s">
        <v>397</v>
      </c>
      <c r="O117" s="765"/>
      <c r="P117" s="520"/>
      <c r="Q117" s="520"/>
      <c r="R117" s="520"/>
      <c r="S117" s="520"/>
      <c r="T117" s="520"/>
      <c r="U117" s="520"/>
      <c r="V117" s="520"/>
      <c r="W117" s="520"/>
      <c r="X117" s="17"/>
    </row>
    <row r="118" spans="1:25" s="33" customFormat="1" ht="60" customHeight="1">
      <c r="A118" s="8"/>
      <c r="B118" s="8"/>
      <c r="C118" s="15"/>
      <c r="D118" s="16"/>
      <c r="E118" s="521"/>
      <c r="F118" s="521"/>
      <c r="G118" s="521"/>
      <c r="H118" s="521"/>
      <c r="I118" s="52" t="s">
        <v>77</v>
      </c>
      <c r="J118" s="476" t="s">
        <v>414</v>
      </c>
      <c r="K118" s="476"/>
      <c r="L118" s="476"/>
      <c r="M118" s="476"/>
      <c r="N118" s="476"/>
      <c r="O118" s="476"/>
      <c r="P118" s="476"/>
      <c r="Q118" s="476"/>
      <c r="R118" s="476"/>
      <c r="S118" s="476"/>
      <c r="T118" s="476"/>
      <c r="U118" s="476"/>
      <c r="V118" s="476"/>
      <c r="W118" s="476"/>
      <c r="X118" s="17"/>
    </row>
    <row r="119" spans="1:25" s="33" customFormat="1" ht="5.0999999999999996" customHeight="1">
      <c r="A119" s="8"/>
      <c r="B119" s="8"/>
      <c r="C119" s="24"/>
      <c r="D119" s="25"/>
      <c r="E119" s="25"/>
      <c r="F119" s="25"/>
      <c r="G119" s="25"/>
      <c r="H119" s="25"/>
      <c r="I119" s="94"/>
      <c r="J119" s="45"/>
      <c r="K119" s="45"/>
      <c r="L119" s="83"/>
      <c r="M119" s="45"/>
      <c r="N119" s="45"/>
      <c r="O119" s="45"/>
      <c r="P119" s="45"/>
      <c r="Q119" s="45"/>
      <c r="R119" s="45"/>
      <c r="S119" s="45"/>
      <c r="T119" s="45"/>
      <c r="U119" s="45"/>
      <c r="V119" s="45"/>
      <c r="W119" s="45"/>
      <c r="X119" s="26"/>
    </row>
    <row r="120" spans="1:25" s="33" customFormat="1" ht="9.9499999999999993" customHeight="1">
      <c r="A120" s="8"/>
      <c r="B120" s="8"/>
      <c r="C120" s="42"/>
      <c r="D120" s="42"/>
      <c r="E120" s="42"/>
      <c r="F120" s="42"/>
      <c r="G120" s="42"/>
      <c r="H120" s="42"/>
      <c r="I120" s="42"/>
      <c r="J120" s="43"/>
      <c r="K120" s="43"/>
      <c r="L120" s="78"/>
      <c r="M120" s="43"/>
      <c r="N120" s="43"/>
      <c r="O120" s="43"/>
      <c r="P120" s="43"/>
      <c r="Q120" s="43"/>
      <c r="R120" s="43"/>
      <c r="S120" s="43"/>
      <c r="T120" s="43"/>
      <c r="U120" s="43"/>
      <c r="V120" s="43"/>
      <c r="W120" s="43"/>
      <c r="X120" s="43"/>
      <c r="Y120" s="42"/>
    </row>
    <row r="121" spans="1:25" s="33" customFormat="1" ht="9.9499999999999993" customHeight="1">
      <c r="A121" s="8"/>
      <c r="B121" s="8"/>
      <c r="C121" s="42"/>
      <c r="D121" s="42"/>
      <c r="E121" s="42"/>
      <c r="F121" s="42"/>
      <c r="G121" s="42"/>
      <c r="H121" s="42"/>
      <c r="I121" s="95"/>
      <c r="J121" s="42"/>
      <c r="K121" s="42"/>
      <c r="L121" s="418"/>
      <c r="M121" s="42"/>
      <c r="N121" s="42"/>
      <c r="O121" s="42"/>
      <c r="P121" s="42"/>
      <c r="Q121" s="42"/>
      <c r="R121" s="42"/>
      <c r="S121" s="42"/>
      <c r="T121" s="42"/>
      <c r="U121" s="42"/>
      <c r="V121" s="42"/>
      <c r="W121" s="42"/>
      <c r="X121" s="42"/>
    </row>
    <row r="122" spans="1:25" s="33" customFormat="1" ht="20.100000000000001" customHeight="1">
      <c r="A122" s="8"/>
      <c r="B122" s="8"/>
      <c r="C122" s="643" t="s">
        <v>147</v>
      </c>
      <c r="D122" s="644"/>
      <c r="E122" s="644"/>
      <c r="F122" s="644"/>
      <c r="G122" s="644"/>
      <c r="H122" s="645"/>
    </row>
    <row r="123" spans="1:25" s="33" customFormat="1" ht="22.5" customHeight="1">
      <c r="A123" s="8"/>
      <c r="B123" s="8"/>
      <c r="C123" s="11"/>
      <c r="D123" s="447" t="s">
        <v>454</v>
      </c>
      <c r="E123" s="12"/>
      <c r="F123" s="12"/>
      <c r="G123" s="12"/>
      <c r="H123" s="12"/>
      <c r="I123" s="13"/>
      <c r="J123" s="13"/>
      <c r="K123" s="13"/>
      <c r="L123" s="13"/>
      <c r="M123" s="13"/>
      <c r="N123" s="13"/>
      <c r="O123" s="13"/>
      <c r="P123" s="13"/>
      <c r="Q123" s="13"/>
      <c r="R123" s="13"/>
      <c r="S123" s="13"/>
      <c r="T123" s="13"/>
      <c r="U123" s="13"/>
      <c r="V123" s="13"/>
      <c r="W123" s="13"/>
      <c r="X123" s="14"/>
    </row>
    <row r="124" spans="1:25" ht="20.100000000000001" customHeight="1">
      <c r="A124" s="8"/>
      <c r="B124" s="8"/>
      <c r="C124" s="15"/>
      <c r="D124" s="16">
        <v>1</v>
      </c>
      <c r="E124" s="521" t="s">
        <v>148</v>
      </c>
      <c r="F124" s="521"/>
      <c r="G124" s="521"/>
      <c r="H124" s="521"/>
      <c r="I124" s="519"/>
      <c r="J124" s="519"/>
      <c r="K124" s="519"/>
      <c r="L124" s="519"/>
      <c r="M124" s="519"/>
      <c r="N124" s="520"/>
      <c r="O124" s="520"/>
      <c r="P124" s="520"/>
      <c r="Q124" s="520"/>
      <c r="R124" s="520"/>
      <c r="S124" s="520"/>
      <c r="T124" s="520"/>
      <c r="U124" s="520"/>
      <c r="V124" s="520"/>
      <c r="W124" s="520"/>
      <c r="X124" s="17"/>
    </row>
    <row r="125" spans="1:25" ht="20.100000000000001" customHeight="1">
      <c r="A125" s="8"/>
      <c r="B125" s="8"/>
      <c r="C125" s="15"/>
      <c r="D125" s="16"/>
      <c r="E125" s="521"/>
      <c r="F125" s="521"/>
      <c r="G125" s="521"/>
      <c r="H125" s="521"/>
      <c r="I125" s="48" t="s">
        <v>76</v>
      </c>
      <c r="J125" s="473" t="s">
        <v>437</v>
      </c>
      <c r="K125" s="473"/>
      <c r="L125" s="473"/>
      <c r="M125" s="473"/>
      <c r="N125" s="473"/>
      <c r="O125" s="473"/>
      <c r="P125" s="473"/>
      <c r="Q125" s="473"/>
      <c r="R125" s="473"/>
      <c r="S125" s="473"/>
      <c r="T125" s="473"/>
      <c r="U125" s="473"/>
      <c r="V125" s="473"/>
      <c r="W125" s="473"/>
      <c r="X125" s="17"/>
    </row>
    <row r="126" spans="1:25" s="33" customFormat="1" ht="20.100000000000001" customHeight="1">
      <c r="A126" s="8"/>
      <c r="B126" s="8"/>
      <c r="C126" s="15"/>
      <c r="D126" s="16">
        <v>2</v>
      </c>
      <c r="E126" s="490" t="s">
        <v>448</v>
      </c>
      <c r="F126" s="490"/>
      <c r="G126" s="490"/>
      <c r="H126" s="490"/>
      <c r="I126" s="519"/>
      <c r="J126" s="519"/>
      <c r="K126" s="519"/>
      <c r="L126" s="519"/>
      <c r="M126" s="519"/>
      <c r="N126" s="376" t="s">
        <v>392</v>
      </c>
      <c r="O126" s="519"/>
      <c r="P126" s="519"/>
      <c r="Q126" s="519"/>
      <c r="R126" s="668" t="s">
        <v>393</v>
      </c>
      <c r="S126" s="668"/>
      <c r="T126" s="668"/>
      <c r="U126" s="668"/>
      <c r="V126" s="668"/>
      <c r="W126" s="668"/>
      <c r="X126" s="17"/>
    </row>
    <row r="127" spans="1:25" s="33" customFormat="1" ht="30" customHeight="1">
      <c r="A127" s="8"/>
      <c r="B127" s="8"/>
      <c r="C127" s="15"/>
      <c r="D127" s="16"/>
      <c r="E127" s="521"/>
      <c r="F127" s="521"/>
      <c r="G127" s="521"/>
      <c r="H127" s="521"/>
      <c r="I127" s="48" t="s">
        <v>76</v>
      </c>
      <c r="J127" s="476" t="s">
        <v>438</v>
      </c>
      <c r="K127" s="473"/>
      <c r="L127" s="473"/>
      <c r="M127" s="473"/>
      <c r="N127" s="473"/>
      <c r="O127" s="473"/>
      <c r="P127" s="473"/>
      <c r="Q127" s="473"/>
      <c r="R127" s="473"/>
      <c r="S127" s="473"/>
      <c r="T127" s="473"/>
      <c r="U127" s="473"/>
      <c r="V127" s="473"/>
      <c r="W127" s="473"/>
      <c r="X127" s="17"/>
    </row>
    <row r="128" spans="1:25" s="33" customFormat="1" ht="20.100000000000001" customHeight="1">
      <c r="A128" s="8"/>
      <c r="B128" s="8"/>
      <c r="C128" s="15"/>
      <c r="D128" s="16">
        <v>3</v>
      </c>
      <c r="E128" s="490" t="s">
        <v>449</v>
      </c>
      <c r="F128" s="490"/>
      <c r="G128" s="490"/>
      <c r="H128" s="490"/>
      <c r="I128" s="519"/>
      <c r="J128" s="519"/>
      <c r="K128" s="519"/>
      <c r="L128" s="519"/>
      <c r="M128" s="519"/>
      <c r="N128" s="376" t="s">
        <v>392</v>
      </c>
      <c r="O128" s="519"/>
      <c r="P128" s="519"/>
      <c r="Q128" s="519"/>
      <c r="R128" s="668" t="s">
        <v>393</v>
      </c>
      <c r="S128" s="668"/>
      <c r="T128" s="668"/>
      <c r="U128" s="668"/>
      <c r="V128" s="668"/>
      <c r="W128" s="668"/>
      <c r="X128" s="17"/>
    </row>
    <row r="129" spans="1:25" s="33" customFormat="1" ht="30" customHeight="1">
      <c r="A129" s="8"/>
      <c r="B129" s="8"/>
      <c r="C129" s="15"/>
      <c r="D129" s="16"/>
      <c r="E129" s="521"/>
      <c r="F129" s="521"/>
      <c r="G129" s="521"/>
      <c r="H129" s="521"/>
      <c r="I129" s="48" t="s">
        <v>76</v>
      </c>
      <c r="J129" s="476" t="s">
        <v>438</v>
      </c>
      <c r="K129" s="473"/>
      <c r="L129" s="473"/>
      <c r="M129" s="473"/>
      <c r="N129" s="473"/>
      <c r="O129" s="473"/>
      <c r="P129" s="473"/>
      <c r="Q129" s="473"/>
      <c r="R129" s="473"/>
      <c r="S129" s="473"/>
      <c r="T129" s="473"/>
      <c r="U129" s="473"/>
      <c r="V129" s="473"/>
      <c r="W129" s="473"/>
      <c r="X129" s="17"/>
    </row>
    <row r="130" spans="1:25" s="33" customFormat="1" ht="39.950000000000003" customHeight="1">
      <c r="A130" s="8"/>
      <c r="B130" s="8"/>
      <c r="C130" s="11"/>
      <c r="D130" s="666" t="s">
        <v>447</v>
      </c>
      <c r="E130" s="667"/>
      <c r="F130" s="667"/>
      <c r="G130" s="667"/>
      <c r="H130" s="667"/>
      <c r="I130" s="667"/>
      <c r="J130" s="667"/>
      <c r="K130" s="667"/>
      <c r="L130" s="667"/>
      <c r="M130" s="667"/>
      <c r="N130" s="667"/>
      <c r="O130" s="667"/>
      <c r="P130" s="667"/>
      <c r="Q130" s="667"/>
      <c r="R130" s="667"/>
      <c r="S130" s="667"/>
      <c r="T130" s="667"/>
      <c r="U130" s="667"/>
      <c r="V130" s="667"/>
      <c r="W130" s="667"/>
      <c r="X130" s="17"/>
    </row>
    <row r="131" spans="1:25" s="33" customFormat="1" ht="20.100000000000001" customHeight="1">
      <c r="A131" s="8"/>
      <c r="B131" s="8"/>
      <c r="C131" s="15"/>
      <c r="D131" s="669" t="s">
        <v>442</v>
      </c>
      <c r="E131" s="670"/>
      <c r="F131" s="670"/>
      <c r="G131" s="670"/>
      <c r="H131" s="671"/>
      <c r="I131" s="672" t="s">
        <v>443</v>
      </c>
      <c r="J131" s="673"/>
      <c r="K131" s="673"/>
      <c r="L131" s="673"/>
      <c r="M131" s="673"/>
      <c r="N131" s="674"/>
      <c r="O131" s="766" t="s">
        <v>444</v>
      </c>
      <c r="P131" s="767"/>
      <c r="Q131" s="767"/>
      <c r="R131" s="768"/>
      <c r="S131" s="769" t="s">
        <v>394</v>
      </c>
      <c r="T131" s="770"/>
      <c r="U131" s="770"/>
      <c r="V131" s="770"/>
      <c r="W131" s="771"/>
      <c r="X131" s="17"/>
    </row>
    <row r="132" spans="1:25" s="33" customFormat="1" ht="20.100000000000001" customHeight="1">
      <c r="A132" s="8"/>
      <c r="B132" s="8"/>
      <c r="C132" s="15"/>
      <c r="D132" s="35">
        <v>4</v>
      </c>
      <c r="E132" s="621" t="s">
        <v>88</v>
      </c>
      <c r="F132" s="621"/>
      <c r="G132" s="621"/>
      <c r="H132" s="622"/>
      <c r="I132" s="675"/>
      <c r="J132" s="676"/>
      <c r="K132" s="676"/>
      <c r="L132" s="676"/>
      <c r="M132" s="676"/>
      <c r="N132" s="677"/>
      <c r="O132" s="625"/>
      <c r="P132" s="626"/>
      <c r="Q132" s="626"/>
      <c r="R132" s="626"/>
      <c r="S132" s="625"/>
      <c r="T132" s="626"/>
      <c r="U132" s="626"/>
      <c r="V132" s="626"/>
      <c r="W132" s="627"/>
      <c r="X132" s="17"/>
    </row>
    <row r="133" spans="1:25" s="33" customFormat="1" ht="20.100000000000001" customHeight="1">
      <c r="A133" s="8"/>
      <c r="B133" s="8"/>
      <c r="C133" s="15"/>
      <c r="D133" s="34">
        <v>5</v>
      </c>
      <c r="E133" s="623" t="s">
        <v>455</v>
      </c>
      <c r="F133" s="623"/>
      <c r="G133" s="623"/>
      <c r="H133" s="624"/>
      <c r="I133" s="650"/>
      <c r="J133" s="651"/>
      <c r="K133" s="631"/>
      <c r="L133" s="631"/>
      <c r="M133" s="651"/>
      <c r="N133" s="652"/>
      <c r="O133" s="630"/>
      <c r="P133" s="631"/>
      <c r="Q133" s="631"/>
      <c r="R133" s="631"/>
      <c r="S133" s="630"/>
      <c r="T133" s="631"/>
      <c r="U133" s="631"/>
      <c r="V133" s="631"/>
      <c r="W133" s="632"/>
      <c r="X133" s="17"/>
    </row>
    <row r="134" spans="1:25" s="33" customFormat="1" ht="20.100000000000001" customHeight="1">
      <c r="A134" s="8"/>
      <c r="B134" s="8"/>
      <c r="C134" s="15"/>
      <c r="D134" s="34">
        <v>6</v>
      </c>
      <c r="E134" s="623" t="s">
        <v>89</v>
      </c>
      <c r="F134" s="623"/>
      <c r="G134" s="623"/>
      <c r="H134" s="624"/>
      <c r="I134" s="650"/>
      <c r="J134" s="651"/>
      <c r="K134" s="651"/>
      <c r="L134" s="651"/>
      <c r="M134" s="651"/>
      <c r="N134" s="652"/>
      <c r="O134" s="630"/>
      <c r="P134" s="631"/>
      <c r="Q134" s="631"/>
      <c r="R134" s="631"/>
      <c r="S134" s="630"/>
      <c r="T134" s="631"/>
      <c r="U134" s="631"/>
      <c r="V134" s="631"/>
      <c r="W134" s="632"/>
      <c r="X134" s="17"/>
    </row>
    <row r="135" spans="1:25" s="33" customFormat="1" ht="20.100000000000001" customHeight="1">
      <c r="A135" s="8"/>
      <c r="B135" s="8"/>
      <c r="C135" s="15"/>
      <c r="D135" s="34">
        <v>7</v>
      </c>
      <c r="E135" s="623" t="s">
        <v>90</v>
      </c>
      <c r="F135" s="623"/>
      <c r="G135" s="623"/>
      <c r="H135" s="624"/>
      <c r="I135" s="650"/>
      <c r="J135" s="651"/>
      <c r="K135" s="651"/>
      <c r="L135" s="651"/>
      <c r="M135" s="651"/>
      <c r="N135" s="652"/>
      <c r="O135" s="630"/>
      <c r="P135" s="631"/>
      <c r="Q135" s="631"/>
      <c r="R135" s="631"/>
      <c r="S135" s="630"/>
      <c r="T135" s="631"/>
      <c r="U135" s="631"/>
      <c r="V135" s="631"/>
      <c r="W135" s="632"/>
      <c r="X135" s="17"/>
    </row>
    <row r="136" spans="1:25" s="33" customFormat="1" ht="20.100000000000001" customHeight="1">
      <c r="A136" s="8"/>
      <c r="B136" s="8"/>
      <c r="C136" s="15"/>
      <c r="D136" s="34">
        <v>8</v>
      </c>
      <c r="E136" s="623" t="s">
        <v>92</v>
      </c>
      <c r="F136" s="623"/>
      <c r="G136" s="623"/>
      <c r="H136" s="624"/>
      <c r="I136" s="650"/>
      <c r="J136" s="651"/>
      <c r="K136" s="651"/>
      <c r="L136" s="651"/>
      <c r="M136" s="651"/>
      <c r="N136" s="652"/>
      <c r="O136" s="630"/>
      <c r="P136" s="631"/>
      <c r="Q136" s="631"/>
      <c r="R136" s="631"/>
      <c r="S136" s="630"/>
      <c r="T136" s="631"/>
      <c r="U136" s="631"/>
      <c r="V136" s="631"/>
      <c r="W136" s="632"/>
      <c r="X136" s="17"/>
    </row>
    <row r="137" spans="1:25" s="33" customFormat="1" ht="20.100000000000001" customHeight="1" thickBot="1">
      <c r="A137" s="8"/>
      <c r="B137" s="8"/>
      <c r="C137" s="15"/>
      <c r="D137" s="36">
        <v>9</v>
      </c>
      <c r="E137" s="628" t="s">
        <v>146</v>
      </c>
      <c r="F137" s="628"/>
      <c r="G137" s="628"/>
      <c r="H137" s="629"/>
      <c r="I137" s="661"/>
      <c r="J137" s="662"/>
      <c r="K137" s="662"/>
      <c r="L137" s="662"/>
      <c r="M137" s="662"/>
      <c r="N137" s="663"/>
      <c r="O137" s="653"/>
      <c r="P137" s="654"/>
      <c r="Q137" s="654"/>
      <c r="R137" s="654"/>
      <c r="S137" s="653"/>
      <c r="T137" s="654"/>
      <c r="U137" s="654"/>
      <c r="V137" s="654"/>
      <c r="W137" s="655"/>
      <c r="X137" s="17"/>
    </row>
    <row r="138" spans="1:25" s="33" customFormat="1" ht="20.100000000000001" customHeight="1" thickTop="1">
      <c r="A138" s="8"/>
      <c r="B138" s="8"/>
      <c r="C138" s="15"/>
      <c r="D138" s="37"/>
      <c r="E138" s="659" t="s">
        <v>94</v>
      </c>
      <c r="F138" s="659"/>
      <c r="G138" s="659"/>
      <c r="H138" s="660"/>
      <c r="I138" s="664">
        <f>SUM(I132:M137)</f>
        <v>0</v>
      </c>
      <c r="J138" s="657"/>
      <c r="K138" s="657"/>
      <c r="L138" s="657"/>
      <c r="M138" s="657"/>
      <c r="N138" s="665"/>
      <c r="O138" s="656">
        <f>SUM(O132:R137)</f>
        <v>0</v>
      </c>
      <c r="P138" s="657"/>
      <c r="Q138" s="657"/>
      <c r="R138" s="657"/>
      <c r="S138" s="656">
        <f>SUM(S132:W137)</f>
        <v>0</v>
      </c>
      <c r="T138" s="657"/>
      <c r="U138" s="657"/>
      <c r="V138" s="657"/>
      <c r="W138" s="658"/>
      <c r="X138" s="17"/>
    </row>
    <row r="139" spans="1:25" s="33" customFormat="1" ht="5.0999999999999996" customHeight="1">
      <c r="A139" s="8"/>
      <c r="B139" s="8"/>
      <c r="C139" s="15"/>
      <c r="D139" s="445"/>
      <c r="E139" s="780"/>
      <c r="F139" s="781"/>
      <c r="G139" s="781"/>
      <c r="H139" s="781"/>
      <c r="I139" s="781"/>
      <c r="J139" s="781"/>
      <c r="K139" s="781"/>
      <c r="L139" s="781"/>
      <c r="M139" s="781"/>
      <c r="N139" s="781"/>
      <c r="O139" s="781"/>
      <c r="P139" s="781"/>
      <c r="Q139" s="781"/>
      <c r="R139" s="781"/>
      <c r="S139" s="781"/>
      <c r="T139" s="781"/>
      <c r="U139" s="781"/>
      <c r="V139" s="781"/>
      <c r="W139" s="781"/>
      <c r="X139" s="17"/>
    </row>
    <row r="140" spans="1:25" s="33" customFormat="1" ht="83.1" customHeight="1">
      <c r="A140" s="8"/>
      <c r="B140" s="8"/>
      <c r="C140" s="24"/>
      <c r="D140" s="446" t="s">
        <v>451</v>
      </c>
      <c r="E140" s="477" t="s">
        <v>450</v>
      </c>
      <c r="F140" s="477"/>
      <c r="G140" s="477"/>
      <c r="H140" s="477"/>
      <c r="I140" s="477"/>
      <c r="J140" s="477"/>
      <c r="K140" s="477"/>
      <c r="L140" s="477"/>
      <c r="M140" s="477"/>
      <c r="N140" s="477"/>
      <c r="O140" s="477"/>
      <c r="P140" s="477"/>
      <c r="Q140" s="477"/>
      <c r="R140" s="477"/>
      <c r="S140" s="477"/>
      <c r="T140" s="477"/>
      <c r="U140" s="477"/>
      <c r="V140" s="477"/>
      <c r="W140" s="477"/>
      <c r="X140" s="26"/>
    </row>
    <row r="141" spans="1:25" s="33" customFormat="1" ht="9.9499999999999993" customHeight="1">
      <c r="A141" s="8"/>
      <c r="B141" s="8"/>
      <c r="C141" s="42"/>
      <c r="D141" s="42"/>
      <c r="E141" s="42"/>
      <c r="F141" s="42"/>
      <c r="G141" s="42"/>
      <c r="H141" s="42"/>
      <c r="I141" s="42"/>
      <c r="J141" s="43"/>
      <c r="K141" s="43"/>
      <c r="L141" s="78"/>
      <c r="M141" s="43"/>
      <c r="N141" s="43"/>
      <c r="O141" s="43"/>
      <c r="P141" s="43"/>
      <c r="Q141" s="43"/>
      <c r="R141" s="43"/>
      <c r="S141" s="43"/>
      <c r="T141" s="43"/>
      <c r="U141" s="43"/>
      <c r="V141" s="43"/>
      <c r="W141" s="43"/>
      <c r="X141" s="43"/>
      <c r="Y141" s="42"/>
    </row>
    <row r="142" spans="1:25" s="33" customFormat="1" ht="9.9499999999999993" customHeight="1">
      <c r="A142" s="8"/>
      <c r="B142" s="8"/>
      <c r="C142" s="80"/>
      <c r="D142" s="80"/>
      <c r="E142" s="80"/>
      <c r="F142" s="80"/>
      <c r="G142" s="80"/>
      <c r="H142" s="80"/>
      <c r="I142" s="95"/>
      <c r="J142" s="80"/>
      <c r="K142" s="80"/>
      <c r="L142" s="418"/>
      <c r="M142" s="80"/>
      <c r="N142" s="80"/>
      <c r="O142" s="80"/>
      <c r="P142" s="80"/>
      <c r="Q142" s="80"/>
      <c r="R142" s="80"/>
      <c r="S142" s="80"/>
      <c r="T142" s="80"/>
      <c r="U142" s="80"/>
      <c r="V142" s="80"/>
      <c r="W142" s="80"/>
      <c r="X142" s="80"/>
    </row>
    <row r="143" spans="1:25" s="33" customFormat="1" ht="20.100000000000001" customHeight="1">
      <c r="A143" s="8"/>
      <c r="B143" s="8"/>
      <c r="C143" s="643" t="s">
        <v>407</v>
      </c>
      <c r="D143" s="644"/>
      <c r="E143" s="644"/>
      <c r="F143" s="644"/>
      <c r="G143" s="644"/>
      <c r="H143" s="645"/>
    </row>
    <row r="144" spans="1:25" s="33" customFormat="1" ht="8.1" customHeight="1">
      <c r="A144" s="8"/>
      <c r="B144" s="8"/>
      <c r="C144" s="11"/>
      <c r="D144" s="86"/>
      <c r="E144" s="86"/>
      <c r="F144" s="86"/>
      <c r="G144" s="86"/>
      <c r="H144" s="86"/>
      <c r="I144" s="13"/>
      <c r="J144" s="13"/>
      <c r="K144" s="13"/>
      <c r="L144" s="13"/>
      <c r="M144" s="13"/>
      <c r="N144" s="13"/>
      <c r="O144" s="13"/>
      <c r="P144" s="13"/>
      <c r="Q144" s="13"/>
      <c r="R144" s="13"/>
      <c r="S144" s="13"/>
      <c r="T144" s="13"/>
      <c r="U144" s="13"/>
      <c r="V144" s="13"/>
      <c r="W144" s="13"/>
      <c r="X144" s="14"/>
    </row>
    <row r="145" spans="1:24" s="33" customFormat="1" ht="30" customHeight="1">
      <c r="A145" s="8"/>
      <c r="B145" s="8"/>
      <c r="C145" s="11"/>
      <c r="D145" s="475" t="s">
        <v>445</v>
      </c>
      <c r="E145" s="475"/>
      <c r="F145" s="475"/>
      <c r="G145" s="475"/>
      <c r="H145" s="475"/>
      <c r="I145" s="475"/>
      <c r="J145" s="475"/>
      <c r="K145" s="475"/>
      <c r="L145" s="475"/>
      <c r="M145" s="475"/>
      <c r="N145" s="475"/>
      <c r="O145" s="475"/>
      <c r="P145" s="475"/>
      <c r="Q145" s="475"/>
      <c r="R145" s="475"/>
      <c r="S145" s="475"/>
      <c r="T145" s="475"/>
      <c r="U145" s="475"/>
      <c r="V145" s="475"/>
      <c r="W145" s="475"/>
      <c r="X145" s="17"/>
    </row>
    <row r="146" spans="1:24" s="33" customFormat="1" ht="20.100000000000001" customHeight="1">
      <c r="A146" s="8"/>
      <c r="B146" s="8"/>
      <c r="C146" s="11"/>
      <c r="D146" s="100"/>
      <c r="E146" s="457" t="s">
        <v>169</v>
      </c>
      <c r="F146" s="457"/>
      <c r="G146" s="457"/>
      <c r="H146" s="457"/>
      <c r="I146" s="457"/>
      <c r="J146" s="457"/>
      <c r="K146" s="457"/>
      <c r="L146" s="457"/>
      <c r="M146" s="458"/>
      <c r="N146" s="502" t="s">
        <v>170</v>
      </c>
      <c r="O146" s="503"/>
      <c r="P146" s="504"/>
      <c r="Q146" s="502" t="s">
        <v>171</v>
      </c>
      <c r="R146" s="503"/>
      <c r="S146" s="503"/>
      <c r="T146" s="488"/>
      <c r="U146" s="490"/>
      <c r="V146" s="490"/>
      <c r="W146" s="490"/>
      <c r="X146" s="32"/>
    </row>
    <row r="147" spans="1:24" s="33" customFormat="1" ht="20.100000000000001" customHeight="1">
      <c r="A147" s="8"/>
      <c r="B147" s="8"/>
      <c r="C147" s="11"/>
      <c r="D147" s="440">
        <v>1</v>
      </c>
      <c r="E147" s="459" t="s">
        <v>172</v>
      </c>
      <c r="F147" s="459"/>
      <c r="G147" s="459"/>
      <c r="H147" s="459"/>
      <c r="I147" s="459"/>
      <c r="J147" s="459"/>
      <c r="K147" s="459"/>
      <c r="L147" s="459"/>
      <c r="M147" s="460"/>
      <c r="N147" s="500"/>
      <c r="O147" s="501"/>
      <c r="P147" s="101" t="s">
        <v>173</v>
      </c>
      <c r="Q147" s="500"/>
      <c r="R147" s="501"/>
      <c r="S147" s="79" t="s">
        <v>173</v>
      </c>
      <c r="T147" s="488"/>
      <c r="U147" s="489"/>
      <c r="V147" s="490"/>
      <c r="W147" s="490"/>
      <c r="X147" s="32"/>
    </row>
    <row r="148" spans="1:24" s="33" customFormat="1" ht="20.100000000000001" customHeight="1">
      <c r="A148" s="8"/>
      <c r="B148" s="8"/>
      <c r="C148" s="11"/>
      <c r="D148" s="441">
        <v>2</v>
      </c>
      <c r="E148" s="449" t="s">
        <v>174</v>
      </c>
      <c r="F148" s="449"/>
      <c r="G148" s="449"/>
      <c r="H148" s="449"/>
      <c r="I148" s="449"/>
      <c r="J148" s="449"/>
      <c r="K148" s="449"/>
      <c r="L148" s="449"/>
      <c r="M148" s="450"/>
      <c r="N148" s="494"/>
      <c r="O148" s="495"/>
      <c r="P148" s="101" t="s">
        <v>173</v>
      </c>
      <c r="Q148" s="494"/>
      <c r="R148" s="495"/>
      <c r="S148" s="79" t="s">
        <v>173</v>
      </c>
      <c r="T148" s="488"/>
      <c r="U148" s="489"/>
      <c r="V148" s="490"/>
      <c r="W148" s="490"/>
      <c r="X148" s="32"/>
    </row>
    <row r="149" spans="1:24" s="33" customFormat="1" ht="20.100000000000001" customHeight="1">
      <c r="A149" s="8"/>
      <c r="B149" s="8"/>
      <c r="C149" s="11"/>
      <c r="D149" s="441">
        <v>3</v>
      </c>
      <c r="E149" s="449" t="s">
        <v>175</v>
      </c>
      <c r="F149" s="449"/>
      <c r="G149" s="449"/>
      <c r="H149" s="449"/>
      <c r="I149" s="449"/>
      <c r="J149" s="449"/>
      <c r="K149" s="449"/>
      <c r="L149" s="449"/>
      <c r="M149" s="450"/>
      <c r="N149" s="494"/>
      <c r="O149" s="495"/>
      <c r="P149" s="101" t="s">
        <v>173</v>
      </c>
      <c r="Q149" s="494"/>
      <c r="R149" s="495"/>
      <c r="S149" s="79" t="s">
        <v>173</v>
      </c>
      <c r="T149" s="488"/>
      <c r="U149" s="489"/>
      <c r="V149" s="490"/>
      <c r="W149" s="490"/>
      <c r="X149" s="32"/>
    </row>
    <row r="150" spans="1:24" s="33" customFormat="1" ht="20.100000000000001" customHeight="1">
      <c r="A150" s="8"/>
      <c r="B150" s="8"/>
      <c r="C150" s="11"/>
      <c r="D150" s="441">
        <v>4</v>
      </c>
      <c r="E150" s="449" t="s">
        <v>176</v>
      </c>
      <c r="F150" s="449"/>
      <c r="G150" s="449"/>
      <c r="H150" s="449"/>
      <c r="I150" s="449"/>
      <c r="J150" s="449"/>
      <c r="K150" s="449"/>
      <c r="L150" s="449"/>
      <c r="M150" s="450"/>
      <c r="N150" s="494"/>
      <c r="O150" s="495"/>
      <c r="P150" s="101" t="s">
        <v>173</v>
      </c>
      <c r="Q150" s="494"/>
      <c r="R150" s="495"/>
      <c r="S150" s="79" t="s">
        <v>173</v>
      </c>
      <c r="T150" s="488"/>
      <c r="U150" s="489"/>
      <c r="V150" s="490"/>
      <c r="W150" s="490"/>
      <c r="X150" s="32"/>
    </row>
    <row r="151" spans="1:24" s="33" customFormat="1" ht="20.100000000000001" customHeight="1">
      <c r="A151" s="8"/>
      <c r="B151" s="8"/>
      <c r="C151" s="11"/>
      <c r="D151" s="441">
        <v>5</v>
      </c>
      <c r="E151" s="449" t="s">
        <v>177</v>
      </c>
      <c r="F151" s="449"/>
      <c r="G151" s="449"/>
      <c r="H151" s="449"/>
      <c r="I151" s="449"/>
      <c r="J151" s="449"/>
      <c r="K151" s="449"/>
      <c r="L151" s="449"/>
      <c r="M151" s="450"/>
      <c r="N151" s="494"/>
      <c r="O151" s="495"/>
      <c r="P151" s="101" t="s">
        <v>173</v>
      </c>
      <c r="Q151" s="494"/>
      <c r="R151" s="495"/>
      <c r="S151" s="79" t="s">
        <v>173</v>
      </c>
      <c r="T151" s="488"/>
      <c r="U151" s="489"/>
      <c r="V151" s="490"/>
      <c r="W151" s="490"/>
      <c r="X151" s="32"/>
    </row>
    <row r="152" spans="1:24" s="33" customFormat="1" ht="20.100000000000001" customHeight="1">
      <c r="A152" s="8"/>
      <c r="B152" s="8"/>
      <c r="C152" s="11"/>
      <c r="D152" s="442">
        <v>6</v>
      </c>
      <c r="E152" s="455" t="s">
        <v>178</v>
      </c>
      <c r="F152" s="455"/>
      <c r="G152" s="455"/>
      <c r="H152" s="455"/>
      <c r="I152" s="455"/>
      <c r="J152" s="455"/>
      <c r="K152" s="455"/>
      <c r="L152" s="455"/>
      <c r="M152" s="456"/>
      <c r="N152" s="496"/>
      <c r="O152" s="497"/>
      <c r="P152" s="102" t="s">
        <v>173</v>
      </c>
      <c r="Q152" s="496"/>
      <c r="R152" s="497"/>
      <c r="S152" s="81" t="s">
        <v>173</v>
      </c>
      <c r="T152" s="488"/>
      <c r="U152" s="489"/>
      <c r="V152" s="490"/>
      <c r="W152" s="490"/>
      <c r="X152" s="32"/>
    </row>
    <row r="153" spans="1:24" s="33" customFormat="1" ht="20.100000000000001" customHeight="1">
      <c r="A153" s="8"/>
      <c r="B153" s="8"/>
      <c r="C153" s="11"/>
      <c r="D153" s="443">
        <v>7</v>
      </c>
      <c r="E153" s="646" t="s">
        <v>179</v>
      </c>
      <c r="F153" s="505" t="s">
        <v>180</v>
      </c>
      <c r="G153" s="491" t="s">
        <v>181</v>
      </c>
      <c r="H153" s="492"/>
      <c r="I153" s="492"/>
      <c r="J153" s="492"/>
      <c r="K153" s="492"/>
      <c r="L153" s="492"/>
      <c r="M153" s="493"/>
      <c r="N153" s="500"/>
      <c r="O153" s="501"/>
      <c r="P153" s="103" t="s">
        <v>173</v>
      </c>
      <c r="Q153" s="500"/>
      <c r="R153" s="501"/>
      <c r="S153" s="82" t="s">
        <v>173</v>
      </c>
      <c r="T153" s="488"/>
      <c r="U153" s="489"/>
      <c r="V153" s="490"/>
      <c r="W153" s="490"/>
      <c r="X153" s="32"/>
    </row>
    <row r="154" spans="1:24" s="33" customFormat="1" ht="20.100000000000001" customHeight="1">
      <c r="A154" s="8"/>
      <c r="B154" s="8"/>
      <c r="C154" s="11"/>
      <c r="D154" s="441">
        <v>8</v>
      </c>
      <c r="E154" s="647"/>
      <c r="F154" s="506"/>
      <c r="G154" s="448" t="s">
        <v>182</v>
      </c>
      <c r="H154" s="449"/>
      <c r="I154" s="449"/>
      <c r="J154" s="449"/>
      <c r="K154" s="449"/>
      <c r="L154" s="449"/>
      <c r="M154" s="450"/>
      <c r="N154" s="494"/>
      <c r="O154" s="495"/>
      <c r="P154" s="101" t="s">
        <v>173</v>
      </c>
      <c r="Q154" s="494"/>
      <c r="R154" s="495"/>
      <c r="S154" s="79" t="s">
        <v>173</v>
      </c>
      <c r="T154" s="488"/>
      <c r="U154" s="489"/>
      <c r="V154" s="490"/>
      <c r="W154" s="490"/>
      <c r="X154" s="32"/>
    </row>
    <row r="155" spans="1:24" s="33" customFormat="1" ht="20.100000000000001" customHeight="1">
      <c r="A155" s="8"/>
      <c r="B155" s="8"/>
      <c r="C155" s="11"/>
      <c r="D155" s="441">
        <v>9</v>
      </c>
      <c r="E155" s="647"/>
      <c r="F155" s="506"/>
      <c r="G155" s="448" t="s">
        <v>107</v>
      </c>
      <c r="H155" s="449"/>
      <c r="I155" s="449"/>
      <c r="J155" s="449"/>
      <c r="K155" s="449"/>
      <c r="L155" s="449"/>
      <c r="M155" s="450"/>
      <c r="N155" s="494"/>
      <c r="O155" s="495"/>
      <c r="P155" s="101" t="s">
        <v>173</v>
      </c>
      <c r="Q155" s="494"/>
      <c r="R155" s="495"/>
      <c r="S155" s="79" t="s">
        <v>173</v>
      </c>
      <c r="T155" s="488"/>
      <c r="U155" s="489"/>
      <c r="V155" s="490"/>
      <c r="W155" s="490"/>
      <c r="X155" s="32"/>
    </row>
    <row r="156" spans="1:24" s="33" customFormat="1" ht="20.100000000000001" customHeight="1">
      <c r="A156" s="8"/>
      <c r="B156" s="8"/>
      <c r="C156" s="11"/>
      <c r="D156" s="441">
        <v>10</v>
      </c>
      <c r="E156" s="647"/>
      <c r="F156" s="506"/>
      <c r="G156" s="448" t="s">
        <v>108</v>
      </c>
      <c r="H156" s="449"/>
      <c r="I156" s="449"/>
      <c r="J156" s="449"/>
      <c r="K156" s="449"/>
      <c r="L156" s="449"/>
      <c r="M156" s="450"/>
      <c r="N156" s="494"/>
      <c r="O156" s="495"/>
      <c r="P156" s="101" t="s">
        <v>173</v>
      </c>
      <c r="Q156" s="494"/>
      <c r="R156" s="495"/>
      <c r="S156" s="79" t="s">
        <v>173</v>
      </c>
      <c r="T156" s="488"/>
      <c r="U156" s="489"/>
      <c r="V156" s="490"/>
      <c r="W156" s="490"/>
      <c r="X156" s="32"/>
    </row>
    <row r="157" spans="1:24" s="33" customFormat="1" ht="20.100000000000001" customHeight="1">
      <c r="A157" s="8"/>
      <c r="B157" s="8"/>
      <c r="C157" s="11"/>
      <c r="D157" s="441">
        <v>11</v>
      </c>
      <c r="E157" s="647"/>
      <c r="F157" s="507"/>
      <c r="G157" s="448" t="s">
        <v>109</v>
      </c>
      <c r="H157" s="449"/>
      <c r="I157" s="449"/>
      <c r="J157" s="449"/>
      <c r="K157" s="449"/>
      <c r="L157" s="449"/>
      <c r="M157" s="450"/>
      <c r="N157" s="494"/>
      <c r="O157" s="495"/>
      <c r="P157" s="101" t="s">
        <v>173</v>
      </c>
      <c r="Q157" s="494"/>
      <c r="R157" s="495"/>
      <c r="S157" s="79" t="s">
        <v>173</v>
      </c>
      <c r="T157" s="488"/>
      <c r="U157" s="489"/>
      <c r="V157" s="490"/>
      <c r="W157" s="490"/>
      <c r="X157" s="32"/>
    </row>
    <row r="158" spans="1:24" s="33" customFormat="1" ht="20.100000000000001" customHeight="1">
      <c r="A158" s="8"/>
      <c r="B158" s="8"/>
      <c r="C158" s="11"/>
      <c r="D158" s="441">
        <v>12</v>
      </c>
      <c r="E158" s="647"/>
      <c r="F158" s="508" t="s">
        <v>183</v>
      </c>
      <c r="G158" s="448" t="s">
        <v>184</v>
      </c>
      <c r="H158" s="449"/>
      <c r="I158" s="449"/>
      <c r="J158" s="449"/>
      <c r="K158" s="449"/>
      <c r="L158" s="449"/>
      <c r="M158" s="450"/>
      <c r="N158" s="494"/>
      <c r="O158" s="495"/>
      <c r="P158" s="101" t="s">
        <v>173</v>
      </c>
      <c r="Q158" s="494"/>
      <c r="R158" s="495"/>
      <c r="S158" s="79" t="s">
        <v>173</v>
      </c>
      <c r="T158" s="488"/>
      <c r="U158" s="489"/>
      <c r="V158" s="490"/>
      <c r="W158" s="490"/>
      <c r="X158" s="32"/>
    </row>
    <row r="159" spans="1:24" s="33" customFormat="1" ht="20.100000000000001" customHeight="1">
      <c r="A159" s="8"/>
      <c r="B159" s="8"/>
      <c r="C159" s="11"/>
      <c r="D159" s="441">
        <v>13</v>
      </c>
      <c r="E159" s="647"/>
      <c r="F159" s="507"/>
      <c r="G159" s="448" t="s">
        <v>110</v>
      </c>
      <c r="H159" s="449"/>
      <c r="I159" s="449"/>
      <c r="J159" s="449"/>
      <c r="K159" s="449"/>
      <c r="L159" s="449"/>
      <c r="M159" s="450"/>
      <c r="N159" s="494"/>
      <c r="O159" s="495"/>
      <c r="P159" s="101" t="s">
        <v>173</v>
      </c>
      <c r="Q159" s="494"/>
      <c r="R159" s="495"/>
      <c r="S159" s="79" t="s">
        <v>173</v>
      </c>
      <c r="T159" s="488"/>
      <c r="U159" s="489"/>
      <c r="V159" s="490"/>
      <c r="W159" s="490"/>
      <c r="X159" s="32"/>
    </row>
    <row r="160" spans="1:24" s="33" customFormat="1" ht="20.100000000000001" customHeight="1">
      <c r="A160" s="8"/>
      <c r="B160" s="8"/>
      <c r="C160" s="11"/>
      <c r="D160" s="441">
        <v>14</v>
      </c>
      <c r="E160" s="647"/>
      <c r="F160" s="379" t="s">
        <v>185</v>
      </c>
      <c r="G160" s="448" t="s">
        <v>111</v>
      </c>
      <c r="H160" s="449"/>
      <c r="I160" s="449"/>
      <c r="J160" s="449"/>
      <c r="K160" s="449"/>
      <c r="L160" s="449"/>
      <c r="M160" s="450"/>
      <c r="N160" s="494"/>
      <c r="O160" s="495"/>
      <c r="P160" s="101" t="s">
        <v>173</v>
      </c>
      <c r="Q160" s="494"/>
      <c r="R160" s="495"/>
      <c r="S160" s="79" t="s">
        <v>173</v>
      </c>
      <c r="T160" s="488"/>
      <c r="U160" s="489"/>
      <c r="V160" s="490"/>
      <c r="W160" s="490"/>
      <c r="X160" s="32"/>
    </row>
    <row r="161" spans="1:24" s="33" customFormat="1" ht="20.100000000000001" customHeight="1">
      <c r="A161" s="8"/>
      <c r="B161" s="8"/>
      <c r="C161" s="11"/>
      <c r="D161" s="441">
        <v>15</v>
      </c>
      <c r="E161" s="647"/>
      <c r="F161" s="379" t="s">
        <v>186</v>
      </c>
      <c r="G161" s="448" t="s">
        <v>112</v>
      </c>
      <c r="H161" s="449"/>
      <c r="I161" s="449"/>
      <c r="J161" s="449"/>
      <c r="K161" s="449"/>
      <c r="L161" s="449"/>
      <c r="M161" s="450"/>
      <c r="N161" s="494"/>
      <c r="O161" s="495"/>
      <c r="P161" s="101" t="s">
        <v>173</v>
      </c>
      <c r="Q161" s="494"/>
      <c r="R161" s="495"/>
      <c r="S161" s="79" t="s">
        <v>173</v>
      </c>
      <c r="T161" s="488"/>
      <c r="U161" s="489"/>
      <c r="V161" s="490"/>
      <c r="W161" s="490"/>
      <c r="X161" s="32"/>
    </row>
    <row r="162" spans="1:24" s="33" customFormat="1" ht="20.100000000000001" customHeight="1">
      <c r="A162" s="8"/>
      <c r="B162" s="8"/>
      <c r="C162" s="11"/>
      <c r="D162" s="441">
        <v>16</v>
      </c>
      <c r="E162" s="647"/>
      <c r="F162" s="379" t="s">
        <v>187</v>
      </c>
      <c r="G162" s="448" t="s">
        <v>113</v>
      </c>
      <c r="H162" s="449"/>
      <c r="I162" s="449"/>
      <c r="J162" s="449"/>
      <c r="K162" s="449"/>
      <c r="L162" s="449"/>
      <c r="M162" s="450"/>
      <c r="N162" s="494"/>
      <c r="O162" s="495"/>
      <c r="P162" s="101" t="s">
        <v>173</v>
      </c>
      <c r="Q162" s="494"/>
      <c r="R162" s="495"/>
      <c r="S162" s="79" t="s">
        <v>173</v>
      </c>
      <c r="T162" s="488"/>
      <c r="U162" s="489"/>
      <c r="V162" s="490"/>
      <c r="W162" s="490"/>
      <c r="X162" s="32"/>
    </row>
    <row r="163" spans="1:24" s="33" customFormat="1" ht="20.100000000000001" customHeight="1">
      <c r="A163" s="8"/>
      <c r="B163" s="8"/>
      <c r="C163" s="11"/>
      <c r="D163" s="441">
        <v>17</v>
      </c>
      <c r="E163" s="647"/>
      <c r="F163" s="380" t="s">
        <v>188</v>
      </c>
      <c r="G163" s="448" t="s">
        <v>433</v>
      </c>
      <c r="H163" s="449"/>
      <c r="I163" s="449"/>
      <c r="J163" s="449"/>
      <c r="K163" s="449"/>
      <c r="L163" s="449"/>
      <c r="M163" s="450"/>
      <c r="N163" s="494"/>
      <c r="O163" s="495"/>
      <c r="P163" s="101" t="s">
        <v>173</v>
      </c>
      <c r="Q163" s="494"/>
      <c r="R163" s="495"/>
      <c r="S163" s="79" t="s">
        <v>173</v>
      </c>
      <c r="T163" s="488"/>
      <c r="U163" s="489"/>
      <c r="V163" s="490"/>
      <c r="W163" s="490"/>
      <c r="X163" s="32"/>
    </row>
    <row r="164" spans="1:24" s="33" customFormat="1" ht="20.100000000000001" customHeight="1">
      <c r="A164" s="8"/>
      <c r="B164" s="8"/>
      <c r="C164" s="11"/>
      <c r="D164" s="441">
        <v>18</v>
      </c>
      <c r="E164" s="647"/>
      <c r="F164" s="515" t="s">
        <v>189</v>
      </c>
      <c r="G164" s="448" t="s">
        <v>190</v>
      </c>
      <c r="H164" s="449"/>
      <c r="I164" s="449"/>
      <c r="J164" s="449"/>
      <c r="K164" s="449"/>
      <c r="L164" s="449"/>
      <c r="M164" s="450"/>
      <c r="N164" s="494"/>
      <c r="O164" s="495"/>
      <c r="P164" s="101" t="s">
        <v>173</v>
      </c>
      <c r="Q164" s="494"/>
      <c r="R164" s="495"/>
      <c r="S164" s="79" t="s">
        <v>173</v>
      </c>
      <c r="T164" s="488"/>
      <c r="U164" s="489"/>
      <c r="V164" s="490"/>
      <c r="W164" s="490"/>
      <c r="X164" s="32"/>
    </row>
    <row r="165" spans="1:24" s="33" customFormat="1" ht="20.100000000000001" customHeight="1">
      <c r="A165" s="8"/>
      <c r="B165" s="8"/>
      <c r="C165" s="11"/>
      <c r="D165" s="441">
        <v>19</v>
      </c>
      <c r="E165" s="647"/>
      <c r="F165" s="516"/>
      <c r="G165" s="448" t="s">
        <v>157</v>
      </c>
      <c r="H165" s="449"/>
      <c r="I165" s="449"/>
      <c r="J165" s="449"/>
      <c r="K165" s="449"/>
      <c r="L165" s="449"/>
      <c r="M165" s="450"/>
      <c r="N165" s="494"/>
      <c r="O165" s="495"/>
      <c r="P165" s="101" t="s">
        <v>173</v>
      </c>
      <c r="Q165" s="494"/>
      <c r="R165" s="495"/>
      <c r="S165" s="79" t="s">
        <v>173</v>
      </c>
      <c r="T165" s="488"/>
      <c r="U165" s="489"/>
      <c r="V165" s="490"/>
      <c r="W165" s="490"/>
      <c r="X165" s="32"/>
    </row>
    <row r="166" spans="1:24" s="33" customFormat="1" ht="20.100000000000001" customHeight="1">
      <c r="A166" s="8"/>
      <c r="B166" s="8"/>
      <c r="C166" s="11"/>
      <c r="D166" s="441">
        <v>20</v>
      </c>
      <c r="E166" s="647"/>
      <c r="F166" s="380" t="s">
        <v>191</v>
      </c>
      <c r="G166" s="448" t="s">
        <v>192</v>
      </c>
      <c r="H166" s="449"/>
      <c r="I166" s="449"/>
      <c r="J166" s="449"/>
      <c r="K166" s="449"/>
      <c r="L166" s="449"/>
      <c r="M166" s="450"/>
      <c r="N166" s="494"/>
      <c r="O166" s="495"/>
      <c r="P166" s="101" t="s">
        <v>173</v>
      </c>
      <c r="Q166" s="494"/>
      <c r="R166" s="495"/>
      <c r="S166" s="79" t="s">
        <v>173</v>
      </c>
      <c r="T166" s="488"/>
      <c r="U166" s="489"/>
      <c r="V166" s="490"/>
      <c r="W166" s="490"/>
      <c r="X166" s="32"/>
    </row>
    <row r="167" spans="1:24" s="33" customFormat="1" ht="20.100000000000001" customHeight="1">
      <c r="A167" s="8"/>
      <c r="B167" s="8"/>
      <c r="C167" s="11"/>
      <c r="D167" s="441">
        <v>21</v>
      </c>
      <c r="E167" s="647"/>
      <c r="F167" s="515" t="s">
        <v>189</v>
      </c>
      <c r="G167" s="448" t="s">
        <v>158</v>
      </c>
      <c r="H167" s="449"/>
      <c r="I167" s="449"/>
      <c r="J167" s="449"/>
      <c r="K167" s="449"/>
      <c r="L167" s="449"/>
      <c r="M167" s="450"/>
      <c r="N167" s="494"/>
      <c r="O167" s="495"/>
      <c r="P167" s="101" t="s">
        <v>173</v>
      </c>
      <c r="Q167" s="494"/>
      <c r="R167" s="495"/>
      <c r="S167" s="79" t="s">
        <v>173</v>
      </c>
      <c r="T167" s="488"/>
      <c r="U167" s="489"/>
      <c r="V167" s="490"/>
      <c r="W167" s="490"/>
      <c r="X167" s="32"/>
    </row>
    <row r="168" spans="1:24" s="33" customFormat="1" ht="20.100000000000001" customHeight="1">
      <c r="A168" s="8"/>
      <c r="B168" s="8"/>
      <c r="C168" s="11"/>
      <c r="D168" s="441">
        <v>22</v>
      </c>
      <c r="E168" s="647"/>
      <c r="F168" s="649"/>
      <c r="G168" s="448" t="s">
        <v>159</v>
      </c>
      <c r="H168" s="449"/>
      <c r="I168" s="449"/>
      <c r="J168" s="449"/>
      <c r="K168" s="449"/>
      <c r="L168" s="449"/>
      <c r="M168" s="450"/>
      <c r="N168" s="494"/>
      <c r="O168" s="495"/>
      <c r="P168" s="101" t="s">
        <v>173</v>
      </c>
      <c r="Q168" s="494"/>
      <c r="R168" s="495"/>
      <c r="S168" s="79" t="s">
        <v>173</v>
      </c>
      <c r="T168" s="488"/>
      <c r="U168" s="489"/>
      <c r="V168" s="490"/>
      <c r="W168" s="490"/>
      <c r="X168" s="32"/>
    </row>
    <row r="169" spans="1:24" s="33" customFormat="1" ht="20.100000000000001" customHeight="1">
      <c r="A169" s="8"/>
      <c r="B169" s="8"/>
      <c r="C169" s="11"/>
      <c r="D169" s="441">
        <v>23</v>
      </c>
      <c r="E169" s="647"/>
      <c r="F169" s="649"/>
      <c r="G169" s="448" t="s">
        <v>116</v>
      </c>
      <c r="H169" s="449"/>
      <c r="I169" s="449"/>
      <c r="J169" s="449"/>
      <c r="K169" s="449"/>
      <c r="L169" s="449"/>
      <c r="M169" s="450"/>
      <c r="N169" s="494"/>
      <c r="O169" s="495"/>
      <c r="P169" s="101" t="s">
        <v>173</v>
      </c>
      <c r="Q169" s="494"/>
      <c r="R169" s="495"/>
      <c r="S169" s="79" t="s">
        <v>173</v>
      </c>
      <c r="T169" s="488"/>
      <c r="U169" s="489"/>
      <c r="V169" s="490"/>
      <c r="W169" s="490"/>
      <c r="X169" s="32"/>
    </row>
    <row r="170" spans="1:24" s="33" customFormat="1" ht="20.100000000000001" customHeight="1">
      <c r="A170" s="8"/>
      <c r="B170" s="8"/>
      <c r="C170" s="11"/>
      <c r="D170" s="441">
        <v>24</v>
      </c>
      <c r="E170" s="647"/>
      <c r="F170" s="649"/>
      <c r="G170" s="448" t="s">
        <v>160</v>
      </c>
      <c r="H170" s="449"/>
      <c r="I170" s="449"/>
      <c r="J170" s="449"/>
      <c r="K170" s="449"/>
      <c r="L170" s="449"/>
      <c r="M170" s="450"/>
      <c r="N170" s="494"/>
      <c r="O170" s="495"/>
      <c r="P170" s="101" t="s">
        <v>173</v>
      </c>
      <c r="Q170" s="494"/>
      <c r="R170" s="495"/>
      <c r="S170" s="79" t="s">
        <v>173</v>
      </c>
      <c r="T170" s="488"/>
      <c r="U170" s="489"/>
      <c r="V170" s="490"/>
      <c r="W170" s="490"/>
      <c r="X170" s="32"/>
    </row>
    <row r="171" spans="1:24" s="33" customFormat="1" ht="20.100000000000001" customHeight="1">
      <c r="A171" s="8"/>
      <c r="B171" s="8"/>
      <c r="C171" s="11"/>
      <c r="D171" s="441">
        <v>25</v>
      </c>
      <c r="E171" s="647"/>
      <c r="F171" s="516"/>
      <c r="G171" s="448" t="s">
        <v>117</v>
      </c>
      <c r="H171" s="449"/>
      <c r="I171" s="449"/>
      <c r="J171" s="449"/>
      <c r="K171" s="449"/>
      <c r="L171" s="449"/>
      <c r="M171" s="450"/>
      <c r="N171" s="494"/>
      <c r="O171" s="495"/>
      <c r="P171" s="101" t="s">
        <v>173</v>
      </c>
      <c r="Q171" s="494"/>
      <c r="R171" s="495"/>
      <c r="S171" s="79" t="s">
        <v>173</v>
      </c>
      <c r="T171" s="488"/>
      <c r="U171" s="489"/>
      <c r="V171" s="490"/>
      <c r="W171" s="490"/>
      <c r="X171" s="32"/>
    </row>
    <row r="172" spans="1:24" s="33" customFormat="1" ht="20.100000000000001" customHeight="1">
      <c r="A172" s="8"/>
      <c r="B172" s="8"/>
      <c r="C172" s="11"/>
      <c r="D172" s="441">
        <v>26</v>
      </c>
      <c r="E172" s="647"/>
      <c r="F172" s="380" t="s">
        <v>161</v>
      </c>
      <c r="G172" s="451" t="s">
        <v>161</v>
      </c>
      <c r="H172" s="452"/>
      <c r="I172" s="452"/>
      <c r="J172" s="452"/>
      <c r="K172" s="452"/>
      <c r="L172" s="452"/>
      <c r="M172" s="453"/>
      <c r="N172" s="494"/>
      <c r="O172" s="495"/>
      <c r="P172" s="101" t="s">
        <v>173</v>
      </c>
      <c r="Q172" s="494"/>
      <c r="R172" s="495"/>
      <c r="S172" s="79" t="s">
        <v>173</v>
      </c>
      <c r="T172" s="488"/>
      <c r="U172" s="489"/>
      <c r="V172" s="490"/>
      <c r="W172" s="490"/>
      <c r="X172" s="32"/>
    </row>
    <row r="173" spans="1:24" s="33" customFormat="1" ht="20.100000000000001" customHeight="1">
      <c r="A173" s="8"/>
      <c r="B173" s="8"/>
      <c r="C173" s="11"/>
      <c r="D173" s="442">
        <v>27</v>
      </c>
      <c r="E173" s="648"/>
      <c r="F173" s="381" t="s">
        <v>162</v>
      </c>
      <c r="G173" s="454" t="s">
        <v>162</v>
      </c>
      <c r="H173" s="455"/>
      <c r="I173" s="455"/>
      <c r="J173" s="455"/>
      <c r="K173" s="455"/>
      <c r="L173" s="455"/>
      <c r="M173" s="456"/>
      <c r="N173" s="496"/>
      <c r="O173" s="497"/>
      <c r="P173" s="102" t="s">
        <v>173</v>
      </c>
      <c r="Q173" s="496"/>
      <c r="R173" s="497"/>
      <c r="S173" s="81" t="s">
        <v>173</v>
      </c>
      <c r="T173" s="488"/>
      <c r="U173" s="489"/>
      <c r="V173" s="490"/>
      <c r="W173" s="490"/>
      <c r="X173" s="32"/>
    </row>
    <row r="174" spans="1:24" s="33" customFormat="1" ht="20.100000000000001" customHeight="1">
      <c r="A174" s="8"/>
      <c r="B174" s="8"/>
      <c r="C174" s="11"/>
      <c r="D174" s="440">
        <v>28</v>
      </c>
      <c r="E174" s="485" t="s">
        <v>193</v>
      </c>
      <c r="F174" s="491" t="s">
        <v>181</v>
      </c>
      <c r="G174" s="492"/>
      <c r="H174" s="492"/>
      <c r="I174" s="492"/>
      <c r="J174" s="492"/>
      <c r="K174" s="492"/>
      <c r="L174" s="492"/>
      <c r="M174" s="493"/>
      <c r="N174" s="500"/>
      <c r="O174" s="501"/>
      <c r="P174" s="103" t="s">
        <v>173</v>
      </c>
      <c r="Q174" s="500"/>
      <c r="R174" s="501"/>
      <c r="S174" s="82" t="s">
        <v>173</v>
      </c>
      <c r="T174" s="488"/>
      <c r="U174" s="489"/>
      <c r="V174" s="490"/>
      <c r="W174" s="490"/>
      <c r="X174" s="32"/>
    </row>
    <row r="175" spans="1:24" s="33" customFormat="1" ht="20.100000000000001" customHeight="1">
      <c r="A175" s="8"/>
      <c r="B175" s="8"/>
      <c r="C175" s="11"/>
      <c r="D175" s="441">
        <v>29</v>
      </c>
      <c r="E175" s="486"/>
      <c r="F175" s="448" t="s">
        <v>182</v>
      </c>
      <c r="G175" s="449"/>
      <c r="H175" s="449"/>
      <c r="I175" s="449"/>
      <c r="J175" s="449"/>
      <c r="K175" s="449"/>
      <c r="L175" s="449"/>
      <c r="M175" s="450"/>
      <c r="N175" s="494"/>
      <c r="O175" s="495"/>
      <c r="P175" s="101" t="s">
        <v>173</v>
      </c>
      <c r="Q175" s="494"/>
      <c r="R175" s="495"/>
      <c r="S175" s="79" t="s">
        <v>173</v>
      </c>
      <c r="T175" s="488"/>
      <c r="U175" s="489"/>
      <c r="V175" s="490"/>
      <c r="W175" s="490"/>
      <c r="X175" s="32"/>
    </row>
    <row r="176" spans="1:24" s="33" customFormat="1" ht="20.100000000000001" customHeight="1">
      <c r="A176" s="8"/>
      <c r="B176" s="8"/>
      <c r="C176" s="11"/>
      <c r="D176" s="441">
        <v>30</v>
      </c>
      <c r="E176" s="486"/>
      <c r="F176" s="448" t="s">
        <v>107</v>
      </c>
      <c r="G176" s="449"/>
      <c r="H176" s="449"/>
      <c r="I176" s="449"/>
      <c r="J176" s="449"/>
      <c r="K176" s="449"/>
      <c r="L176" s="449"/>
      <c r="M176" s="450"/>
      <c r="N176" s="494"/>
      <c r="O176" s="495"/>
      <c r="P176" s="101" t="s">
        <v>173</v>
      </c>
      <c r="Q176" s="494"/>
      <c r="R176" s="495"/>
      <c r="S176" s="79" t="s">
        <v>173</v>
      </c>
      <c r="T176" s="488"/>
      <c r="U176" s="489"/>
      <c r="V176" s="490"/>
      <c r="W176" s="490"/>
      <c r="X176" s="32"/>
    </row>
    <row r="177" spans="1:24" s="33" customFormat="1" ht="20.100000000000001" customHeight="1">
      <c r="A177" s="8"/>
      <c r="B177" s="8"/>
      <c r="C177" s="11"/>
      <c r="D177" s="441">
        <v>31</v>
      </c>
      <c r="E177" s="486"/>
      <c r="F177" s="448" t="s">
        <v>108</v>
      </c>
      <c r="G177" s="449"/>
      <c r="H177" s="449"/>
      <c r="I177" s="449"/>
      <c r="J177" s="449"/>
      <c r="K177" s="449"/>
      <c r="L177" s="449"/>
      <c r="M177" s="450"/>
      <c r="N177" s="494"/>
      <c r="O177" s="495"/>
      <c r="P177" s="101" t="s">
        <v>173</v>
      </c>
      <c r="Q177" s="494"/>
      <c r="R177" s="495"/>
      <c r="S177" s="79" t="s">
        <v>173</v>
      </c>
      <c r="T177" s="488"/>
      <c r="U177" s="489"/>
      <c r="V177" s="490"/>
      <c r="W177" s="490"/>
      <c r="X177" s="32"/>
    </row>
    <row r="178" spans="1:24" s="33" customFormat="1" ht="20.100000000000001" customHeight="1">
      <c r="A178" s="8"/>
      <c r="B178" s="8"/>
      <c r="C178" s="11"/>
      <c r="D178" s="441">
        <v>32</v>
      </c>
      <c r="E178" s="486"/>
      <c r="F178" s="448" t="s">
        <v>109</v>
      </c>
      <c r="G178" s="449"/>
      <c r="H178" s="449"/>
      <c r="I178" s="449"/>
      <c r="J178" s="449"/>
      <c r="K178" s="449"/>
      <c r="L178" s="449"/>
      <c r="M178" s="450"/>
      <c r="N178" s="494"/>
      <c r="O178" s="495"/>
      <c r="P178" s="101" t="s">
        <v>173</v>
      </c>
      <c r="Q178" s="494"/>
      <c r="R178" s="495"/>
      <c r="S178" s="79" t="s">
        <v>173</v>
      </c>
      <c r="T178" s="488"/>
      <c r="U178" s="489"/>
      <c r="V178" s="490"/>
      <c r="W178" s="490"/>
      <c r="X178" s="32"/>
    </row>
    <row r="179" spans="1:24" s="33" customFormat="1" ht="20.100000000000001" customHeight="1">
      <c r="A179" s="8"/>
      <c r="B179" s="8"/>
      <c r="C179" s="11"/>
      <c r="D179" s="441">
        <v>33</v>
      </c>
      <c r="E179" s="486"/>
      <c r="F179" s="448" t="s">
        <v>184</v>
      </c>
      <c r="G179" s="449"/>
      <c r="H179" s="449"/>
      <c r="I179" s="449"/>
      <c r="J179" s="449"/>
      <c r="K179" s="449"/>
      <c r="L179" s="449"/>
      <c r="M179" s="450"/>
      <c r="N179" s="494"/>
      <c r="O179" s="495"/>
      <c r="P179" s="101" t="s">
        <v>173</v>
      </c>
      <c r="Q179" s="494"/>
      <c r="R179" s="495"/>
      <c r="S179" s="79" t="s">
        <v>173</v>
      </c>
      <c r="T179" s="488"/>
      <c r="U179" s="489"/>
      <c r="V179" s="490"/>
      <c r="W179" s="490"/>
      <c r="X179" s="32"/>
    </row>
    <row r="180" spans="1:24" s="33" customFormat="1" ht="20.100000000000001" customHeight="1">
      <c r="A180" s="8"/>
      <c r="B180" s="8"/>
      <c r="C180" s="11"/>
      <c r="D180" s="441">
        <v>34</v>
      </c>
      <c r="E180" s="486"/>
      <c r="F180" s="448" t="s">
        <v>110</v>
      </c>
      <c r="G180" s="449"/>
      <c r="H180" s="449"/>
      <c r="I180" s="449"/>
      <c r="J180" s="449"/>
      <c r="K180" s="449"/>
      <c r="L180" s="449"/>
      <c r="M180" s="450"/>
      <c r="N180" s="494"/>
      <c r="O180" s="495"/>
      <c r="P180" s="101" t="s">
        <v>173</v>
      </c>
      <c r="Q180" s="494"/>
      <c r="R180" s="495"/>
      <c r="S180" s="79" t="s">
        <v>173</v>
      </c>
      <c r="T180" s="488"/>
      <c r="U180" s="489"/>
      <c r="V180" s="490"/>
      <c r="W180" s="490"/>
      <c r="X180" s="32"/>
    </row>
    <row r="181" spans="1:24" s="33" customFormat="1" ht="20.100000000000001" customHeight="1">
      <c r="A181" s="8"/>
      <c r="B181" s="8"/>
      <c r="C181" s="11"/>
      <c r="D181" s="441">
        <v>35</v>
      </c>
      <c r="E181" s="486"/>
      <c r="F181" s="448" t="s">
        <v>111</v>
      </c>
      <c r="G181" s="449"/>
      <c r="H181" s="449"/>
      <c r="I181" s="449"/>
      <c r="J181" s="449"/>
      <c r="K181" s="449"/>
      <c r="L181" s="449"/>
      <c r="M181" s="450"/>
      <c r="N181" s="494"/>
      <c r="O181" s="495"/>
      <c r="P181" s="101" t="s">
        <v>173</v>
      </c>
      <c r="Q181" s="494"/>
      <c r="R181" s="495"/>
      <c r="S181" s="79" t="s">
        <v>173</v>
      </c>
      <c r="T181" s="488"/>
      <c r="U181" s="489"/>
      <c r="V181" s="490"/>
      <c r="W181" s="490"/>
      <c r="X181" s="32"/>
    </row>
    <row r="182" spans="1:24" s="33" customFormat="1" ht="20.100000000000001" customHeight="1">
      <c r="A182" s="8"/>
      <c r="B182" s="8"/>
      <c r="C182" s="11"/>
      <c r="D182" s="441">
        <v>36</v>
      </c>
      <c r="E182" s="486"/>
      <c r="F182" s="448" t="s">
        <v>112</v>
      </c>
      <c r="G182" s="449"/>
      <c r="H182" s="449"/>
      <c r="I182" s="449"/>
      <c r="J182" s="449"/>
      <c r="K182" s="449"/>
      <c r="L182" s="449"/>
      <c r="M182" s="450"/>
      <c r="N182" s="494"/>
      <c r="O182" s="495"/>
      <c r="P182" s="101" t="s">
        <v>173</v>
      </c>
      <c r="Q182" s="494"/>
      <c r="R182" s="495"/>
      <c r="S182" s="79" t="s">
        <v>173</v>
      </c>
      <c r="T182" s="488"/>
      <c r="U182" s="489"/>
      <c r="V182" s="490"/>
      <c r="W182" s="490"/>
      <c r="X182" s="32"/>
    </row>
    <row r="183" spans="1:24" s="33" customFormat="1" ht="20.100000000000001" customHeight="1">
      <c r="A183" s="8"/>
      <c r="B183" s="8"/>
      <c r="C183" s="11"/>
      <c r="D183" s="441">
        <v>37</v>
      </c>
      <c r="E183" s="486"/>
      <c r="F183" s="448" t="s">
        <v>113</v>
      </c>
      <c r="G183" s="449"/>
      <c r="H183" s="449"/>
      <c r="I183" s="449"/>
      <c r="J183" s="449"/>
      <c r="K183" s="449"/>
      <c r="L183" s="449"/>
      <c r="M183" s="450"/>
      <c r="N183" s="494"/>
      <c r="O183" s="495"/>
      <c r="P183" s="101" t="s">
        <v>173</v>
      </c>
      <c r="Q183" s="494"/>
      <c r="R183" s="495"/>
      <c r="S183" s="79" t="s">
        <v>173</v>
      </c>
      <c r="T183" s="488"/>
      <c r="U183" s="489"/>
      <c r="V183" s="490"/>
      <c r="W183" s="490"/>
      <c r="X183" s="32"/>
    </row>
    <row r="184" spans="1:24" s="33" customFormat="1" ht="20.100000000000001" customHeight="1">
      <c r="A184" s="8"/>
      <c r="B184" s="8"/>
      <c r="C184" s="11"/>
      <c r="D184" s="441">
        <v>38</v>
      </c>
      <c r="E184" s="486"/>
      <c r="F184" s="448" t="s">
        <v>433</v>
      </c>
      <c r="G184" s="449"/>
      <c r="H184" s="449"/>
      <c r="I184" s="449"/>
      <c r="J184" s="449"/>
      <c r="K184" s="449"/>
      <c r="L184" s="449"/>
      <c r="M184" s="450"/>
      <c r="N184" s="494"/>
      <c r="O184" s="495"/>
      <c r="P184" s="101" t="s">
        <v>173</v>
      </c>
      <c r="Q184" s="494"/>
      <c r="R184" s="495"/>
      <c r="S184" s="79" t="s">
        <v>173</v>
      </c>
      <c r="T184" s="488"/>
      <c r="U184" s="489"/>
      <c r="V184" s="490"/>
      <c r="W184" s="490"/>
      <c r="X184" s="32"/>
    </row>
    <row r="185" spans="1:24" s="33" customFormat="1" ht="20.100000000000001" customHeight="1">
      <c r="A185" s="8"/>
      <c r="B185" s="8"/>
      <c r="C185" s="11"/>
      <c r="D185" s="441">
        <v>39</v>
      </c>
      <c r="E185" s="486"/>
      <c r="F185" s="448" t="s">
        <v>190</v>
      </c>
      <c r="G185" s="449"/>
      <c r="H185" s="449"/>
      <c r="I185" s="449"/>
      <c r="J185" s="449"/>
      <c r="K185" s="449"/>
      <c r="L185" s="449"/>
      <c r="M185" s="450"/>
      <c r="N185" s="494"/>
      <c r="O185" s="495"/>
      <c r="P185" s="101" t="s">
        <v>173</v>
      </c>
      <c r="Q185" s="494"/>
      <c r="R185" s="495"/>
      <c r="S185" s="79" t="s">
        <v>173</v>
      </c>
      <c r="T185" s="488"/>
      <c r="U185" s="489"/>
      <c r="V185" s="490"/>
      <c r="W185" s="490"/>
      <c r="X185" s="32"/>
    </row>
    <row r="186" spans="1:24" s="33" customFormat="1" ht="20.100000000000001" customHeight="1">
      <c r="A186" s="8"/>
      <c r="B186" s="8"/>
      <c r="C186" s="11"/>
      <c r="D186" s="441">
        <v>40</v>
      </c>
      <c r="E186" s="486"/>
      <c r="F186" s="448" t="s">
        <v>157</v>
      </c>
      <c r="G186" s="449"/>
      <c r="H186" s="449"/>
      <c r="I186" s="449"/>
      <c r="J186" s="449"/>
      <c r="K186" s="449"/>
      <c r="L186" s="449"/>
      <c r="M186" s="450"/>
      <c r="N186" s="494"/>
      <c r="O186" s="495"/>
      <c r="P186" s="101" t="s">
        <v>173</v>
      </c>
      <c r="Q186" s="494"/>
      <c r="R186" s="495"/>
      <c r="S186" s="79" t="s">
        <v>173</v>
      </c>
      <c r="T186" s="488"/>
      <c r="U186" s="489"/>
      <c r="V186" s="490"/>
      <c r="W186" s="490"/>
      <c r="X186" s="32"/>
    </row>
    <row r="187" spans="1:24" s="33" customFormat="1" ht="20.100000000000001" customHeight="1">
      <c r="A187" s="8"/>
      <c r="B187" s="8"/>
      <c r="C187" s="11"/>
      <c r="D187" s="441">
        <v>41</v>
      </c>
      <c r="E187" s="486"/>
      <c r="F187" s="448" t="s">
        <v>192</v>
      </c>
      <c r="G187" s="449"/>
      <c r="H187" s="449"/>
      <c r="I187" s="449"/>
      <c r="J187" s="449"/>
      <c r="K187" s="449"/>
      <c r="L187" s="449"/>
      <c r="M187" s="450"/>
      <c r="N187" s="494"/>
      <c r="O187" s="495"/>
      <c r="P187" s="101" t="s">
        <v>173</v>
      </c>
      <c r="Q187" s="494"/>
      <c r="R187" s="495"/>
      <c r="S187" s="79" t="s">
        <v>173</v>
      </c>
      <c r="T187" s="488"/>
      <c r="U187" s="489"/>
      <c r="V187" s="490"/>
      <c r="W187" s="490"/>
      <c r="X187" s="32"/>
    </row>
    <row r="188" spans="1:24" s="33" customFormat="1" ht="20.100000000000001" customHeight="1">
      <c r="A188" s="8"/>
      <c r="B188" s="8"/>
      <c r="C188" s="11"/>
      <c r="D188" s="441">
        <v>42</v>
      </c>
      <c r="E188" s="486"/>
      <c r="F188" s="448" t="s">
        <v>158</v>
      </c>
      <c r="G188" s="449"/>
      <c r="H188" s="449"/>
      <c r="I188" s="449"/>
      <c r="J188" s="449"/>
      <c r="K188" s="449"/>
      <c r="L188" s="449"/>
      <c r="M188" s="450"/>
      <c r="N188" s="494"/>
      <c r="O188" s="495"/>
      <c r="P188" s="104" t="s">
        <v>173</v>
      </c>
      <c r="Q188" s="494"/>
      <c r="R188" s="495"/>
      <c r="S188" s="79" t="s">
        <v>173</v>
      </c>
      <c r="T188" s="488"/>
      <c r="U188" s="489"/>
      <c r="V188" s="490"/>
      <c r="W188" s="490"/>
      <c r="X188" s="32"/>
    </row>
    <row r="189" spans="1:24" s="33" customFormat="1" ht="20.100000000000001" customHeight="1">
      <c r="A189" s="8"/>
      <c r="B189" s="8"/>
      <c r="C189" s="11"/>
      <c r="D189" s="441">
        <v>43</v>
      </c>
      <c r="E189" s="486"/>
      <c r="F189" s="448" t="s">
        <v>159</v>
      </c>
      <c r="G189" s="449"/>
      <c r="H189" s="449"/>
      <c r="I189" s="449"/>
      <c r="J189" s="449"/>
      <c r="K189" s="449"/>
      <c r="L189" s="449"/>
      <c r="M189" s="450"/>
      <c r="N189" s="494"/>
      <c r="O189" s="495"/>
      <c r="P189" s="104" t="s">
        <v>173</v>
      </c>
      <c r="Q189" s="494"/>
      <c r="R189" s="495"/>
      <c r="S189" s="79" t="s">
        <v>173</v>
      </c>
      <c r="T189" s="488"/>
      <c r="U189" s="489"/>
      <c r="V189" s="490"/>
      <c r="W189" s="490"/>
      <c r="X189" s="32"/>
    </row>
    <row r="190" spans="1:24" s="33" customFormat="1" ht="20.100000000000001" customHeight="1">
      <c r="A190" s="8"/>
      <c r="B190" s="8"/>
      <c r="C190" s="11"/>
      <c r="D190" s="441">
        <v>44</v>
      </c>
      <c r="E190" s="486"/>
      <c r="F190" s="448" t="s">
        <v>116</v>
      </c>
      <c r="G190" s="449"/>
      <c r="H190" s="449"/>
      <c r="I190" s="449"/>
      <c r="J190" s="449"/>
      <c r="K190" s="449"/>
      <c r="L190" s="449"/>
      <c r="M190" s="450"/>
      <c r="N190" s="494"/>
      <c r="O190" s="495"/>
      <c r="P190" s="104" t="s">
        <v>173</v>
      </c>
      <c r="Q190" s="494"/>
      <c r="R190" s="495"/>
      <c r="S190" s="79" t="s">
        <v>173</v>
      </c>
      <c r="T190" s="488"/>
      <c r="U190" s="489"/>
      <c r="V190" s="490"/>
      <c r="W190" s="490"/>
      <c r="X190" s="32"/>
    </row>
    <row r="191" spans="1:24" s="33" customFormat="1" ht="20.100000000000001" customHeight="1">
      <c r="A191" s="8"/>
      <c r="B191" s="8"/>
      <c r="C191" s="11"/>
      <c r="D191" s="441">
        <v>45</v>
      </c>
      <c r="E191" s="486"/>
      <c r="F191" s="448" t="s">
        <v>160</v>
      </c>
      <c r="G191" s="449"/>
      <c r="H191" s="449"/>
      <c r="I191" s="449"/>
      <c r="J191" s="449"/>
      <c r="K191" s="449"/>
      <c r="L191" s="449"/>
      <c r="M191" s="450"/>
      <c r="N191" s="494"/>
      <c r="O191" s="495"/>
      <c r="P191" s="104" t="s">
        <v>173</v>
      </c>
      <c r="Q191" s="494"/>
      <c r="R191" s="495"/>
      <c r="S191" s="79" t="s">
        <v>173</v>
      </c>
      <c r="T191" s="488"/>
      <c r="U191" s="489"/>
      <c r="V191" s="490"/>
      <c r="W191" s="490"/>
      <c r="X191" s="32"/>
    </row>
    <row r="192" spans="1:24" s="33" customFormat="1" ht="20.100000000000001" customHeight="1">
      <c r="A192" s="8"/>
      <c r="B192" s="8"/>
      <c r="C192" s="11"/>
      <c r="D192" s="441">
        <v>46</v>
      </c>
      <c r="E192" s="486"/>
      <c r="F192" s="448" t="s">
        <v>117</v>
      </c>
      <c r="G192" s="449"/>
      <c r="H192" s="449"/>
      <c r="I192" s="449"/>
      <c r="J192" s="449"/>
      <c r="K192" s="449"/>
      <c r="L192" s="449"/>
      <c r="M192" s="450"/>
      <c r="N192" s="494"/>
      <c r="O192" s="495"/>
      <c r="P192" s="104" t="s">
        <v>173</v>
      </c>
      <c r="Q192" s="494"/>
      <c r="R192" s="495"/>
      <c r="S192" s="79" t="s">
        <v>173</v>
      </c>
      <c r="T192" s="488"/>
      <c r="U192" s="489"/>
      <c r="V192" s="490"/>
      <c r="W192" s="490"/>
      <c r="X192" s="32"/>
    </row>
    <row r="193" spans="1:24" s="33" customFormat="1" ht="20.100000000000001" customHeight="1">
      <c r="A193" s="8"/>
      <c r="B193" s="8"/>
      <c r="C193" s="11"/>
      <c r="D193" s="441">
        <v>47</v>
      </c>
      <c r="E193" s="486"/>
      <c r="F193" s="451" t="s">
        <v>161</v>
      </c>
      <c r="G193" s="452"/>
      <c r="H193" s="452"/>
      <c r="I193" s="452"/>
      <c r="J193" s="452"/>
      <c r="K193" s="452"/>
      <c r="L193" s="452"/>
      <c r="M193" s="453"/>
      <c r="N193" s="494"/>
      <c r="O193" s="495"/>
      <c r="P193" s="104" t="s">
        <v>173</v>
      </c>
      <c r="Q193" s="494"/>
      <c r="R193" s="495"/>
      <c r="S193" s="79" t="s">
        <v>173</v>
      </c>
      <c r="T193" s="488"/>
      <c r="U193" s="489"/>
      <c r="V193" s="490"/>
      <c r="W193" s="490"/>
      <c r="X193" s="32"/>
    </row>
    <row r="194" spans="1:24" s="33" customFormat="1" ht="20.100000000000001" customHeight="1">
      <c r="A194" s="8"/>
      <c r="B194" s="8"/>
      <c r="C194" s="11"/>
      <c r="D194" s="442">
        <v>48</v>
      </c>
      <c r="E194" s="487"/>
      <c r="F194" s="454" t="s">
        <v>162</v>
      </c>
      <c r="G194" s="455"/>
      <c r="H194" s="455"/>
      <c r="I194" s="455"/>
      <c r="J194" s="455"/>
      <c r="K194" s="455"/>
      <c r="L194" s="455"/>
      <c r="M194" s="456"/>
      <c r="N194" s="496"/>
      <c r="O194" s="497"/>
      <c r="P194" s="105" t="s">
        <v>173</v>
      </c>
      <c r="Q194" s="496"/>
      <c r="R194" s="497"/>
      <c r="S194" s="81" t="s">
        <v>173</v>
      </c>
      <c r="T194" s="488"/>
      <c r="U194" s="489"/>
      <c r="V194" s="490"/>
      <c r="W194" s="490"/>
      <c r="X194" s="32"/>
    </row>
    <row r="195" spans="1:24" s="33" customFormat="1" ht="20.100000000000001" customHeight="1">
      <c r="A195" s="8"/>
      <c r="B195" s="8"/>
      <c r="C195" s="11"/>
      <c r="D195" s="440">
        <v>49</v>
      </c>
      <c r="E195" s="482" t="s">
        <v>194</v>
      </c>
      <c r="F195" s="491" t="s">
        <v>181</v>
      </c>
      <c r="G195" s="492"/>
      <c r="H195" s="492"/>
      <c r="I195" s="492"/>
      <c r="J195" s="492"/>
      <c r="K195" s="492"/>
      <c r="L195" s="492"/>
      <c r="M195" s="493"/>
      <c r="N195" s="500"/>
      <c r="O195" s="501"/>
      <c r="P195" s="106" t="s">
        <v>173</v>
      </c>
      <c r="Q195" s="500"/>
      <c r="R195" s="501"/>
      <c r="S195" s="82" t="s">
        <v>173</v>
      </c>
      <c r="T195" s="488"/>
      <c r="U195" s="489"/>
      <c r="V195" s="490"/>
      <c r="W195" s="490"/>
      <c r="X195" s="32"/>
    </row>
    <row r="196" spans="1:24" s="33" customFormat="1" ht="20.100000000000001" customHeight="1">
      <c r="A196" s="8"/>
      <c r="B196" s="8"/>
      <c r="C196" s="11"/>
      <c r="D196" s="441">
        <v>50</v>
      </c>
      <c r="E196" s="483"/>
      <c r="F196" s="448" t="s">
        <v>182</v>
      </c>
      <c r="G196" s="449"/>
      <c r="H196" s="449"/>
      <c r="I196" s="449"/>
      <c r="J196" s="449"/>
      <c r="K196" s="449"/>
      <c r="L196" s="449"/>
      <c r="M196" s="450"/>
      <c r="N196" s="494"/>
      <c r="O196" s="495"/>
      <c r="P196" s="104" t="s">
        <v>173</v>
      </c>
      <c r="Q196" s="494"/>
      <c r="R196" s="495"/>
      <c r="S196" s="79" t="s">
        <v>173</v>
      </c>
      <c r="T196" s="488"/>
      <c r="U196" s="489"/>
      <c r="V196" s="490"/>
      <c r="W196" s="490"/>
      <c r="X196" s="32"/>
    </row>
    <row r="197" spans="1:24" s="33" customFormat="1" ht="20.100000000000001" customHeight="1">
      <c r="A197" s="8"/>
      <c r="B197" s="8"/>
      <c r="C197" s="11"/>
      <c r="D197" s="441">
        <v>51</v>
      </c>
      <c r="E197" s="483"/>
      <c r="F197" s="448" t="s">
        <v>107</v>
      </c>
      <c r="G197" s="449"/>
      <c r="H197" s="449"/>
      <c r="I197" s="449"/>
      <c r="J197" s="449"/>
      <c r="K197" s="449"/>
      <c r="L197" s="449"/>
      <c r="M197" s="450"/>
      <c r="N197" s="494"/>
      <c r="O197" s="495"/>
      <c r="P197" s="104" t="s">
        <v>173</v>
      </c>
      <c r="Q197" s="494"/>
      <c r="R197" s="495"/>
      <c r="S197" s="79" t="s">
        <v>173</v>
      </c>
      <c r="T197" s="488"/>
      <c r="U197" s="489"/>
      <c r="V197" s="490"/>
      <c r="W197" s="490"/>
      <c r="X197" s="32"/>
    </row>
    <row r="198" spans="1:24" s="33" customFormat="1" ht="20.100000000000001" customHeight="1">
      <c r="A198" s="8"/>
      <c r="B198" s="8"/>
      <c r="C198" s="11"/>
      <c r="D198" s="441">
        <v>52</v>
      </c>
      <c r="E198" s="483"/>
      <c r="F198" s="448" t="s">
        <v>108</v>
      </c>
      <c r="G198" s="449"/>
      <c r="H198" s="449"/>
      <c r="I198" s="449"/>
      <c r="J198" s="449"/>
      <c r="K198" s="449"/>
      <c r="L198" s="449"/>
      <c r="M198" s="450"/>
      <c r="N198" s="494"/>
      <c r="O198" s="495"/>
      <c r="P198" s="104" t="s">
        <v>173</v>
      </c>
      <c r="Q198" s="494"/>
      <c r="R198" s="495"/>
      <c r="S198" s="79" t="s">
        <v>173</v>
      </c>
      <c r="T198" s="488"/>
      <c r="U198" s="489"/>
      <c r="V198" s="490"/>
      <c r="W198" s="490"/>
      <c r="X198" s="32"/>
    </row>
    <row r="199" spans="1:24" s="33" customFormat="1" ht="20.100000000000001" customHeight="1">
      <c r="A199" s="8"/>
      <c r="B199" s="8"/>
      <c r="C199" s="11"/>
      <c r="D199" s="441">
        <v>53</v>
      </c>
      <c r="E199" s="483"/>
      <c r="F199" s="448" t="s">
        <v>109</v>
      </c>
      <c r="G199" s="449"/>
      <c r="H199" s="449"/>
      <c r="I199" s="449"/>
      <c r="J199" s="449"/>
      <c r="K199" s="449"/>
      <c r="L199" s="449"/>
      <c r="M199" s="450"/>
      <c r="N199" s="494"/>
      <c r="O199" s="495"/>
      <c r="P199" s="101" t="s">
        <v>173</v>
      </c>
      <c r="Q199" s="494"/>
      <c r="R199" s="495"/>
      <c r="S199" s="79" t="s">
        <v>173</v>
      </c>
      <c r="T199" s="488"/>
      <c r="U199" s="489"/>
      <c r="V199" s="490"/>
      <c r="W199" s="490"/>
      <c r="X199" s="32"/>
    </row>
    <row r="200" spans="1:24" s="33" customFormat="1" ht="20.100000000000001" customHeight="1">
      <c r="A200" s="8"/>
      <c r="B200" s="8"/>
      <c r="C200" s="11"/>
      <c r="D200" s="441">
        <v>54</v>
      </c>
      <c r="E200" s="483"/>
      <c r="F200" s="448" t="s">
        <v>184</v>
      </c>
      <c r="G200" s="449"/>
      <c r="H200" s="449"/>
      <c r="I200" s="449"/>
      <c r="J200" s="449"/>
      <c r="K200" s="449"/>
      <c r="L200" s="449"/>
      <c r="M200" s="450"/>
      <c r="N200" s="494"/>
      <c r="O200" s="495"/>
      <c r="P200" s="101" t="s">
        <v>173</v>
      </c>
      <c r="Q200" s="494"/>
      <c r="R200" s="495"/>
      <c r="S200" s="79" t="s">
        <v>173</v>
      </c>
      <c r="T200" s="488"/>
      <c r="U200" s="489"/>
      <c r="V200" s="490"/>
      <c r="W200" s="490"/>
      <c r="X200" s="32"/>
    </row>
    <row r="201" spans="1:24" s="33" customFormat="1" ht="20.100000000000001" customHeight="1">
      <c r="A201" s="8"/>
      <c r="B201" s="8"/>
      <c r="C201" s="11"/>
      <c r="D201" s="441">
        <v>55</v>
      </c>
      <c r="E201" s="483"/>
      <c r="F201" s="448" t="s">
        <v>110</v>
      </c>
      <c r="G201" s="449"/>
      <c r="H201" s="449"/>
      <c r="I201" s="449"/>
      <c r="J201" s="449"/>
      <c r="K201" s="449"/>
      <c r="L201" s="449"/>
      <c r="M201" s="450"/>
      <c r="N201" s="494"/>
      <c r="O201" s="495"/>
      <c r="P201" s="101" t="s">
        <v>173</v>
      </c>
      <c r="Q201" s="494"/>
      <c r="R201" s="495"/>
      <c r="S201" s="79" t="s">
        <v>173</v>
      </c>
      <c r="T201" s="488"/>
      <c r="U201" s="489"/>
      <c r="V201" s="490"/>
      <c r="W201" s="490"/>
      <c r="X201" s="32"/>
    </row>
    <row r="202" spans="1:24" s="33" customFormat="1" ht="20.100000000000001" customHeight="1">
      <c r="A202" s="8"/>
      <c r="B202" s="8"/>
      <c r="C202" s="11"/>
      <c r="D202" s="441">
        <v>56</v>
      </c>
      <c r="E202" s="483"/>
      <c r="F202" s="448" t="s">
        <v>111</v>
      </c>
      <c r="G202" s="449"/>
      <c r="H202" s="449"/>
      <c r="I202" s="449"/>
      <c r="J202" s="449"/>
      <c r="K202" s="449"/>
      <c r="L202" s="449"/>
      <c r="M202" s="450"/>
      <c r="N202" s="494"/>
      <c r="O202" s="495"/>
      <c r="P202" s="101" t="s">
        <v>173</v>
      </c>
      <c r="Q202" s="494"/>
      <c r="R202" s="495"/>
      <c r="S202" s="79" t="s">
        <v>173</v>
      </c>
      <c r="T202" s="488"/>
      <c r="U202" s="489"/>
      <c r="V202" s="490"/>
      <c r="W202" s="490"/>
      <c r="X202" s="32"/>
    </row>
    <row r="203" spans="1:24" s="33" customFormat="1" ht="20.100000000000001" customHeight="1">
      <c r="A203" s="8"/>
      <c r="B203" s="8"/>
      <c r="C203" s="11"/>
      <c r="D203" s="441">
        <v>57</v>
      </c>
      <c r="E203" s="483"/>
      <c r="F203" s="448" t="s">
        <v>112</v>
      </c>
      <c r="G203" s="449"/>
      <c r="H203" s="449"/>
      <c r="I203" s="449"/>
      <c r="J203" s="449"/>
      <c r="K203" s="449"/>
      <c r="L203" s="449"/>
      <c r="M203" s="450"/>
      <c r="N203" s="494"/>
      <c r="O203" s="495"/>
      <c r="P203" s="101" t="s">
        <v>173</v>
      </c>
      <c r="Q203" s="494"/>
      <c r="R203" s="495"/>
      <c r="S203" s="79" t="s">
        <v>173</v>
      </c>
      <c r="T203" s="488"/>
      <c r="U203" s="489"/>
      <c r="V203" s="490"/>
      <c r="W203" s="490"/>
      <c r="X203" s="32"/>
    </row>
    <row r="204" spans="1:24" s="33" customFormat="1" ht="20.100000000000001" customHeight="1">
      <c r="A204" s="8"/>
      <c r="B204" s="8"/>
      <c r="C204" s="11"/>
      <c r="D204" s="441">
        <v>58</v>
      </c>
      <c r="E204" s="483"/>
      <c r="F204" s="448" t="s">
        <v>113</v>
      </c>
      <c r="G204" s="449"/>
      <c r="H204" s="449"/>
      <c r="I204" s="449"/>
      <c r="J204" s="449"/>
      <c r="K204" s="449"/>
      <c r="L204" s="449"/>
      <c r="M204" s="450"/>
      <c r="N204" s="494"/>
      <c r="O204" s="495"/>
      <c r="P204" s="101" t="s">
        <v>173</v>
      </c>
      <c r="Q204" s="494"/>
      <c r="R204" s="495"/>
      <c r="S204" s="79" t="s">
        <v>173</v>
      </c>
      <c r="T204" s="488"/>
      <c r="U204" s="489"/>
      <c r="V204" s="490"/>
      <c r="W204" s="490"/>
      <c r="X204" s="32"/>
    </row>
    <row r="205" spans="1:24" s="33" customFormat="1" ht="20.100000000000001" customHeight="1">
      <c r="A205" s="8"/>
      <c r="B205" s="8"/>
      <c r="C205" s="11"/>
      <c r="D205" s="441">
        <v>59</v>
      </c>
      <c r="E205" s="483"/>
      <c r="F205" s="448" t="s">
        <v>156</v>
      </c>
      <c r="G205" s="449"/>
      <c r="H205" s="449"/>
      <c r="I205" s="449"/>
      <c r="J205" s="449"/>
      <c r="K205" s="449"/>
      <c r="L205" s="449"/>
      <c r="M205" s="450"/>
      <c r="N205" s="494"/>
      <c r="O205" s="495"/>
      <c r="P205" s="101" t="s">
        <v>173</v>
      </c>
      <c r="Q205" s="494"/>
      <c r="R205" s="495"/>
      <c r="S205" s="79" t="s">
        <v>173</v>
      </c>
      <c r="T205" s="488"/>
      <c r="U205" s="489"/>
      <c r="V205" s="490"/>
      <c r="W205" s="490"/>
      <c r="X205" s="32"/>
    </row>
    <row r="206" spans="1:24" s="33" customFormat="1" ht="20.100000000000001" customHeight="1">
      <c r="A206" s="8"/>
      <c r="B206" s="8"/>
      <c r="C206" s="11"/>
      <c r="D206" s="441">
        <v>60</v>
      </c>
      <c r="E206" s="483"/>
      <c r="F206" s="448" t="s">
        <v>190</v>
      </c>
      <c r="G206" s="449"/>
      <c r="H206" s="449"/>
      <c r="I206" s="449"/>
      <c r="J206" s="449"/>
      <c r="K206" s="449"/>
      <c r="L206" s="449"/>
      <c r="M206" s="450"/>
      <c r="N206" s="494"/>
      <c r="O206" s="495"/>
      <c r="P206" s="101" t="s">
        <v>173</v>
      </c>
      <c r="Q206" s="494"/>
      <c r="R206" s="495"/>
      <c r="S206" s="79" t="s">
        <v>173</v>
      </c>
      <c r="T206" s="488"/>
      <c r="U206" s="489"/>
      <c r="V206" s="490"/>
      <c r="W206" s="490"/>
      <c r="X206" s="32"/>
    </row>
    <row r="207" spans="1:24" s="33" customFormat="1" ht="20.100000000000001" customHeight="1">
      <c r="A207" s="8"/>
      <c r="B207" s="8"/>
      <c r="C207" s="11"/>
      <c r="D207" s="441">
        <v>61</v>
      </c>
      <c r="E207" s="483"/>
      <c r="F207" s="448" t="s">
        <v>157</v>
      </c>
      <c r="G207" s="449"/>
      <c r="H207" s="449"/>
      <c r="I207" s="449"/>
      <c r="J207" s="449"/>
      <c r="K207" s="449"/>
      <c r="L207" s="449"/>
      <c r="M207" s="450"/>
      <c r="N207" s="494"/>
      <c r="O207" s="495"/>
      <c r="P207" s="101" t="s">
        <v>173</v>
      </c>
      <c r="Q207" s="494"/>
      <c r="R207" s="495"/>
      <c r="S207" s="79" t="s">
        <v>173</v>
      </c>
      <c r="T207" s="488"/>
      <c r="U207" s="489"/>
      <c r="V207" s="490"/>
      <c r="W207" s="490"/>
      <c r="X207" s="32"/>
    </row>
    <row r="208" spans="1:24" s="33" customFormat="1" ht="20.100000000000001" customHeight="1">
      <c r="A208" s="8"/>
      <c r="B208" s="8"/>
      <c r="C208" s="11"/>
      <c r="D208" s="441">
        <v>62</v>
      </c>
      <c r="E208" s="483"/>
      <c r="F208" s="448" t="s">
        <v>192</v>
      </c>
      <c r="G208" s="449"/>
      <c r="H208" s="449"/>
      <c r="I208" s="449"/>
      <c r="J208" s="449"/>
      <c r="K208" s="449"/>
      <c r="L208" s="449"/>
      <c r="M208" s="450"/>
      <c r="N208" s="494"/>
      <c r="O208" s="495"/>
      <c r="P208" s="101" t="s">
        <v>173</v>
      </c>
      <c r="Q208" s="494"/>
      <c r="R208" s="495"/>
      <c r="S208" s="79" t="s">
        <v>173</v>
      </c>
      <c r="T208" s="488"/>
      <c r="U208" s="489"/>
      <c r="V208" s="490"/>
      <c r="W208" s="490"/>
      <c r="X208" s="32"/>
    </row>
    <row r="209" spans="1:24" s="33" customFormat="1" ht="20.100000000000001" customHeight="1">
      <c r="A209" s="8"/>
      <c r="B209" s="8"/>
      <c r="C209" s="11"/>
      <c r="D209" s="441">
        <v>63</v>
      </c>
      <c r="E209" s="483"/>
      <c r="F209" s="448" t="s">
        <v>158</v>
      </c>
      <c r="G209" s="449"/>
      <c r="H209" s="449"/>
      <c r="I209" s="449"/>
      <c r="J209" s="449"/>
      <c r="K209" s="449"/>
      <c r="L209" s="449"/>
      <c r="M209" s="450"/>
      <c r="N209" s="494"/>
      <c r="O209" s="495"/>
      <c r="P209" s="101" t="s">
        <v>173</v>
      </c>
      <c r="Q209" s="494"/>
      <c r="R209" s="495"/>
      <c r="S209" s="79" t="s">
        <v>173</v>
      </c>
      <c r="T209" s="488"/>
      <c r="U209" s="489"/>
      <c r="V209" s="490"/>
      <c r="W209" s="490"/>
      <c r="X209" s="32"/>
    </row>
    <row r="210" spans="1:24" s="33" customFormat="1" ht="20.100000000000001" customHeight="1">
      <c r="A210" s="8"/>
      <c r="B210" s="8"/>
      <c r="C210" s="11"/>
      <c r="D210" s="441">
        <v>64</v>
      </c>
      <c r="E210" s="483"/>
      <c r="F210" s="448" t="s">
        <v>159</v>
      </c>
      <c r="G210" s="449"/>
      <c r="H210" s="449"/>
      <c r="I210" s="449"/>
      <c r="J210" s="449"/>
      <c r="K210" s="449"/>
      <c r="L210" s="449"/>
      <c r="M210" s="450"/>
      <c r="N210" s="494"/>
      <c r="O210" s="495"/>
      <c r="P210" s="101" t="s">
        <v>173</v>
      </c>
      <c r="Q210" s="494"/>
      <c r="R210" s="495"/>
      <c r="S210" s="79" t="s">
        <v>173</v>
      </c>
      <c r="T210" s="488"/>
      <c r="U210" s="489"/>
      <c r="V210" s="490"/>
      <c r="W210" s="490"/>
      <c r="X210" s="32"/>
    </row>
    <row r="211" spans="1:24" s="33" customFormat="1" ht="20.100000000000001" customHeight="1">
      <c r="A211" s="8"/>
      <c r="B211" s="8"/>
      <c r="C211" s="11"/>
      <c r="D211" s="441">
        <v>65</v>
      </c>
      <c r="E211" s="483"/>
      <c r="F211" s="448" t="s">
        <v>116</v>
      </c>
      <c r="G211" s="449"/>
      <c r="H211" s="449"/>
      <c r="I211" s="449"/>
      <c r="J211" s="449"/>
      <c r="K211" s="449"/>
      <c r="L211" s="449"/>
      <c r="M211" s="450"/>
      <c r="N211" s="494"/>
      <c r="O211" s="495"/>
      <c r="P211" s="101" t="s">
        <v>173</v>
      </c>
      <c r="Q211" s="494"/>
      <c r="R211" s="495"/>
      <c r="S211" s="79" t="s">
        <v>173</v>
      </c>
      <c r="T211" s="488"/>
      <c r="U211" s="489"/>
      <c r="V211" s="490"/>
      <c r="W211" s="490"/>
      <c r="X211" s="32"/>
    </row>
    <row r="212" spans="1:24" s="33" customFormat="1" ht="20.100000000000001" customHeight="1">
      <c r="A212" s="8"/>
      <c r="B212" s="8"/>
      <c r="C212" s="11"/>
      <c r="D212" s="441">
        <v>66</v>
      </c>
      <c r="E212" s="483"/>
      <c r="F212" s="448" t="s">
        <v>160</v>
      </c>
      <c r="G212" s="449"/>
      <c r="H212" s="449"/>
      <c r="I212" s="449"/>
      <c r="J212" s="449"/>
      <c r="K212" s="449"/>
      <c r="L212" s="449"/>
      <c r="M212" s="450"/>
      <c r="N212" s="494"/>
      <c r="O212" s="495"/>
      <c r="P212" s="101" t="s">
        <v>173</v>
      </c>
      <c r="Q212" s="494"/>
      <c r="R212" s="495"/>
      <c r="S212" s="79" t="s">
        <v>173</v>
      </c>
      <c r="T212" s="488"/>
      <c r="U212" s="489"/>
      <c r="V212" s="490"/>
      <c r="W212" s="490"/>
      <c r="X212" s="32"/>
    </row>
    <row r="213" spans="1:24" s="33" customFormat="1" ht="20.100000000000001" customHeight="1">
      <c r="A213" s="8"/>
      <c r="B213" s="8"/>
      <c r="C213" s="11"/>
      <c r="D213" s="441">
        <v>67</v>
      </c>
      <c r="E213" s="483"/>
      <c r="F213" s="448" t="s">
        <v>117</v>
      </c>
      <c r="G213" s="449"/>
      <c r="H213" s="449"/>
      <c r="I213" s="449"/>
      <c r="J213" s="449"/>
      <c r="K213" s="449"/>
      <c r="L213" s="449"/>
      <c r="M213" s="450"/>
      <c r="N213" s="494"/>
      <c r="O213" s="495"/>
      <c r="P213" s="101" t="s">
        <v>173</v>
      </c>
      <c r="Q213" s="494"/>
      <c r="R213" s="495"/>
      <c r="S213" s="79" t="s">
        <v>173</v>
      </c>
      <c r="T213" s="488"/>
      <c r="U213" s="489"/>
      <c r="V213" s="490"/>
      <c r="W213" s="490"/>
      <c r="X213" s="32"/>
    </row>
    <row r="214" spans="1:24" s="33" customFormat="1" ht="20.100000000000001" customHeight="1">
      <c r="A214" s="8"/>
      <c r="B214" s="8"/>
      <c r="C214" s="11"/>
      <c r="D214" s="441">
        <v>68</v>
      </c>
      <c r="E214" s="483"/>
      <c r="F214" s="451" t="s">
        <v>161</v>
      </c>
      <c r="G214" s="452"/>
      <c r="H214" s="452"/>
      <c r="I214" s="452"/>
      <c r="J214" s="452"/>
      <c r="K214" s="452"/>
      <c r="L214" s="452"/>
      <c r="M214" s="453"/>
      <c r="N214" s="494"/>
      <c r="O214" s="495"/>
      <c r="P214" s="101" t="s">
        <v>173</v>
      </c>
      <c r="Q214" s="494"/>
      <c r="R214" s="495"/>
      <c r="S214" s="79" t="s">
        <v>173</v>
      </c>
      <c r="T214" s="488"/>
      <c r="U214" s="489"/>
      <c r="V214" s="490"/>
      <c r="W214" s="490"/>
      <c r="X214" s="32"/>
    </row>
    <row r="215" spans="1:24" s="33" customFormat="1" ht="20.100000000000001" customHeight="1">
      <c r="A215" s="8"/>
      <c r="B215" s="8"/>
      <c r="C215" s="11"/>
      <c r="D215" s="442">
        <v>69</v>
      </c>
      <c r="E215" s="484"/>
      <c r="F215" s="454" t="s">
        <v>162</v>
      </c>
      <c r="G215" s="455"/>
      <c r="H215" s="455"/>
      <c r="I215" s="455"/>
      <c r="J215" s="455"/>
      <c r="K215" s="455"/>
      <c r="L215" s="455"/>
      <c r="M215" s="456"/>
      <c r="N215" s="496"/>
      <c r="O215" s="497"/>
      <c r="P215" s="102" t="s">
        <v>173</v>
      </c>
      <c r="Q215" s="496"/>
      <c r="R215" s="497"/>
      <c r="S215" s="81" t="s">
        <v>173</v>
      </c>
      <c r="T215" s="488"/>
      <c r="U215" s="489"/>
      <c r="V215" s="490"/>
      <c r="W215" s="490"/>
      <c r="X215" s="32"/>
    </row>
    <row r="216" spans="1:24" s="33" customFormat="1" ht="20.100000000000001" customHeight="1">
      <c r="A216" s="8"/>
      <c r="B216" s="8"/>
      <c r="C216" s="11"/>
      <c r="D216" s="440">
        <v>70</v>
      </c>
      <c r="E216" s="459" t="s">
        <v>195</v>
      </c>
      <c r="F216" s="459"/>
      <c r="G216" s="459"/>
      <c r="H216" s="459"/>
      <c r="I216" s="459"/>
      <c r="J216" s="459"/>
      <c r="K216" s="459"/>
      <c r="L216" s="459"/>
      <c r="M216" s="460"/>
      <c r="N216" s="500"/>
      <c r="O216" s="501"/>
      <c r="P216" s="103" t="s">
        <v>173</v>
      </c>
      <c r="Q216" s="500"/>
      <c r="R216" s="501"/>
      <c r="S216" s="82" t="s">
        <v>173</v>
      </c>
      <c r="T216" s="488"/>
      <c r="U216" s="489"/>
      <c r="V216" s="490"/>
      <c r="W216" s="490"/>
      <c r="X216" s="32"/>
    </row>
    <row r="217" spans="1:24" s="33" customFormat="1" ht="20.100000000000001" customHeight="1">
      <c r="A217" s="8"/>
      <c r="B217" s="8"/>
      <c r="C217" s="11"/>
      <c r="D217" s="441">
        <v>71</v>
      </c>
      <c r="E217" s="449" t="s">
        <v>196</v>
      </c>
      <c r="F217" s="449"/>
      <c r="G217" s="449"/>
      <c r="H217" s="449"/>
      <c r="I217" s="449"/>
      <c r="J217" s="449"/>
      <c r="K217" s="449"/>
      <c r="L217" s="449"/>
      <c r="M217" s="450"/>
      <c r="N217" s="494"/>
      <c r="O217" s="495"/>
      <c r="P217" s="101" t="s">
        <v>173</v>
      </c>
      <c r="Q217" s="494"/>
      <c r="R217" s="495"/>
      <c r="S217" s="79" t="s">
        <v>173</v>
      </c>
      <c r="T217" s="488"/>
      <c r="U217" s="489"/>
      <c r="V217" s="490"/>
      <c r="W217" s="490"/>
      <c r="X217" s="32"/>
    </row>
    <row r="218" spans="1:24" s="33" customFormat="1" ht="20.100000000000001" customHeight="1">
      <c r="A218" s="8"/>
      <c r="B218" s="8"/>
      <c r="C218" s="11"/>
      <c r="D218" s="441">
        <v>72</v>
      </c>
      <c r="E218" s="449" t="s">
        <v>197</v>
      </c>
      <c r="F218" s="449"/>
      <c r="G218" s="449"/>
      <c r="H218" s="449"/>
      <c r="I218" s="449"/>
      <c r="J218" s="449"/>
      <c r="K218" s="449"/>
      <c r="L218" s="449"/>
      <c r="M218" s="450"/>
      <c r="N218" s="494"/>
      <c r="O218" s="495"/>
      <c r="P218" s="101" t="s">
        <v>173</v>
      </c>
      <c r="Q218" s="494"/>
      <c r="R218" s="495"/>
      <c r="S218" s="79" t="s">
        <v>173</v>
      </c>
      <c r="T218" s="488"/>
      <c r="U218" s="489"/>
      <c r="V218" s="490"/>
      <c r="W218" s="490"/>
      <c r="X218" s="32"/>
    </row>
    <row r="219" spans="1:24" s="33" customFormat="1" ht="20.100000000000001" customHeight="1">
      <c r="A219" s="8"/>
      <c r="B219" s="8"/>
      <c r="C219" s="11"/>
      <c r="D219" s="441">
        <v>73</v>
      </c>
      <c r="E219" s="449" t="s">
        <v>198</v>
      </c>
      <c r="F219" s="449"/>
      <c r="G219" s="449"/>
      <c r="H219" s="449"/>
      <c r="I219" s="449"/>
      <c r="J219" s="449"/>
      <c r="K219" s="449"/>
      <c r="L219" s="449"/>
      <c r="M219" s="450"/>
      <c r="N219" s="494"/>
      <c r="O219" s="495"/>
      <c r="P219" s="101" t="s">
        <v>173</v>
      </c>
      <c r="Q219" s="494"/>
      <c r="R219" s="495"/>
      <c r="S219" s="79" t="s">
        <v>173</v>
      </c>
      <c r="T219" s="488"/>
      <c r="U219" s="489"/>
      <c r="V219" s="490"/>
      <c r="W219" s="490"/>
      <c r="X219" s="32"/>
    </row>
    <row r="220" spans="1:24" s="33" customFormat="1" ht="20.100000000000001" customHeight="1">
      <c r="A220" s="8"/>
      <c r="B220" s="8"/>
      <c r="C220" s="11"/>
      <c r="D220" s="442">
        <v>74</v>
      </c>
      <c r="E220" s="455" t="s">
        <v>199</v>
      </c>
      <c r="F220" s="455"/>
      <c r="G220" s="455"/>
      <c r="H220" s="455"/>
      <c r="I220" s="455"/>
      <c r="J220" s="455"/>
      <c r="K220" s="455"/>
      <c r="L220" s="455"/>
      <c r="M220" s="456"/>
      <c r="N220" s="496"/>
      <c r="O220" s="497"/>
      <c r="P220" s="102" t="s">
        <v>173</v>
      </c>
      <c r="Q220" s="496"/>
      <c r="R220" s="497"/>
      <c r="S220" s="81" t="s">
        <v>173</v>
      </c>
      <c r="T220" s="488"/>
      <c r="U220" s="489"/>
      <c r="V220" s="490"/>
      <c r="W220" s="490"/>
      <c r="X220" s="32"/>
    </row>
    <row r="221" spans="1:24" s="33" customFormat="1" ht="20.100000000000001" customHeight="1">
      <c r="A221" s="8"/>
      <c r="B221" s="8"/>
      <c r="C221" s="11"/>
      <c r="D221" s="440">
        <v>75</v>
      </c>
      <c r="E221" s="478" t="s">
        <v>200</v>
      </c>
      <c r="F221" s="479"/>
      <c r="G221" s="474" t="s">
        <v>201</v>
      </c>
      <c r="H221" s="459"/>
      <c r="I221" s="459"/>
      <c r="J221" s="459"/>
      <c r="K221" s="459"/>
      <c r="L221" s="459"/>
      <c r="M221" s="460"/>
      <c r="N221" s="500"/>
      <c r="O221" s="501"/>
      <c r="P221" s="103" t="s">
        <v>173</v>
      </c>
      <c r="Q221" s="500"/>
      <c r="R221" s="501"/>
      <c r="S221" s="82" t="s">
        <v>173</v>
      </c>
      <c r="T221" s="488"/>
      <c r="U221" s="489"/>
      <c r="V221" s="490"/>
      <c r="W221" s="490"/>
      <c r="X221" s="32"/>
    </row>
    <row r="222" spans="1:24" s="33" customFormat="1" ht="20.100000000000001" customHeight="1">
      <c r="A222" s="8"/>
      <c r="B222" s="8"/>
      <c r="C222" s="11"/>
      <c r="D222" s="441">
        <v>76</v>
      </c>
      <c r="E222" s="480"/>
      <c r="F222" s="481"/>
      <c r="G222" s="448" t="s">
        <v>202</v>
      </c>
      <c r="H222" s="449"/>
      <c r="I222" s="449"/>
      <c r="J222" s="449"/>
      <c r="K222" s="449"/>
      <c r="L222" s="449"/>
      <c r="M222" s="450"/>
      <c r="N222" s="494"/>
      <c r="O222" s="495"/>
      <c r="P222" s="101" t="s">
        <v>173</v>
      </c>
      <c r="Q222" s="494"/>
      <c r="R222" s="495"/>
      <c r="S222" s="79" t="s">
        <v>173</v>
      </c>
      <c r="T222" s="488"/>
      <c r="U222" s="489"/>
      <c r="V222" s="490"/>
      <c r="W222" s="490"/>
      <c r="X222" s="32"/>
    </row>
    <row r="223" spans="1:24" s="33" customFormat="1" ht="20.100000000000001" customHeight="1">
      <c r="A223" s="8"/>
      <c r="B223" s="8"/>
      <c r="C223" s="11"/>
      <c r="D223" s="441">
        <v>77</v>
      </c>
      <c r="E223" s="449" t="s">
        <v>203</v>
      </c>
      <c r="F223" s="449"/>
      <c r="G223" s="449"/>
      <c r="H223" s="449"/>
      <c r="I223" s="449"/>
      <c r="J223" s="449"/>
      <c r="K223" s="449"/>
      <c r="L223" s="449"/>
      <c r="M223" s="450"/>
      <c r="N223" s="494"/>
      <c r="O223" s="495"/>
      <c r="P223" s="101" t="s">
        <v>173</v>
      </c>
      <c r="Q223" s="494"/>
      <c r="R223" s="495"/>
      <c r="S223" s="79" t="s">
        <v>173</v>
      </c>
      <c r="T223" s="488"/>
      <c r="U223" s="489"/>
      <c r="V223" s="490"/>
      <c r="W223" s="490"/>
      <c r="X223" s="32"/>
    </row>
    <row r="224" spans="1:24" s="33" customFormat="1" ht="20.100000000000001" customHeight="1">
      <c r="A224" s="8"/>
      <c r="B224" s="8"/>
      <c r="C224" s="11"/>
      <c r="D224" s="441">
        <v>78</v>
      </c>
      <c r="E224" s="449" t="s">
        <v>204</v>
      </c>
      <c r="F224" s="449"/>
      <c r="G224" s="449"/>
      <c r="H224" s="449"/>
      <c r="I224" s="449"/>
      <c r="J224" s="449"/>
      <c r="K224" s="449"/>
      <c r="L224" s="449"/>
      <c r="M224" s="450"/>
      <c r="N224" s="494"/>
      <c r="O224" s="495"/>
      <c r="P224" s="101" t="s">
        <v>173</v>
      </c>
      <c r="Q224" s="494"/>
      <c r="R224" s="495"/>
      <c r="S224" s="79" t="s">
        <v>173</v>
      </c>
      <c r="T224" s="488"/>
      <c r="U224" s="489"/>
      <c r="V224" s="490"/>
      <c r="W224" s="490"/>
      <c r="X224" s="32"/>
    </row>
    <row r="225" spans="1:25" s="33" customFormat="1" ht="20.100000000000001" customHeight="1">
      <c r="A225" s="8"/>
      <c r="B225" s="8"/>
      <c r="C225" s="11"/>
      <c r="D225" s="441">
        <v>79</v>
      </c>
      <c r="E225" s="449" t="s">
        <v>205</v>
      </c>
      <c r="F225" s="449"/>
      <c r="G225" s="449"/>
      <c r="H225" s="449"/>
      <c r="I225" s="449"/>
      <c r="J225" s="449"/>
      <c r="K225" s="449"/>
      <c r="L225" s="449"/>
      <c r="M225" s="450"/>
      <c r="N225" s="494"/>
      <c r="O225" s="495"/>
      <c r="P225" s="101" t="s">
        <v>173</v>
      </c>
      <c r="Q225" s="494"/>
      <c r="R225" s="495"/>
      <c r="S225" s="79" t="s">
        <v>173</v>
      </c>
      <c r="T225" s="488"/>
      <c r="U225" s="489"/>
      <c r="V225" s="490"/>
      <c r="W225" s="490"/>
      <c r="X225" s="32"/>
    </row>
    <row r="226" spans="1:25" s="33" customFormat="1" ht="20.100000000000001" customHeight="1">
      <c r="A226" s="8"/>
      <c r="B226" s="8"/>
      <c r="C226" s="11"/>
      <c r="D226" s="442">
        <v>80</v>
      </c>
      <c r="E226" s="455" t="s">
        <v>206</v>
      </c>
      <c r="F226" s="455"/>
      <c r="G226" s="455"/>
      <c r="H226" s="455"/>
      <c r="I226" s="455"/>
      <c r="J226" s="455"/>
      <c r="K226" s="455"/>
      <c r="L226" s="455"/>
      <c r="M226" s="456"/>
      <c r="N226" s="496"/>
      <c r="O226" s="497"/>
      <c r="P226" s="102" t="s">
        <v>173</v>
      </c>
      <c r="Q226" s="496"/>
      <c r="R226" s="497"/>
      <c r="S226" s="81" t="s">
        <v>173</v>
      </c>
      <c r="T226" s="488"/>
      <c r="U226" s="489"/>
      <c r="V226" s="490"/>
      <c r="W226" s="490"/>
      <c r="X226" s="32"/>
    </row>
    <row r="227" spans="1:25" s="33" customFormat="1" ht="20.100000000000001" customHeight="1">
      <c r="A227" s="8"/>
      <c r="B227" s="8"/>
      <c r="C227" s="11"/>
      <c r="D227" s="440">
        <v>81</v>
      </c>
      <c r="E227" s="485" t="s">
        <v>207</v>
      </c>
      <c r="F227" s="513" t="s">
        <v>208</v>
      </c>
      <c r="G227" s="514"/>
      <c r="H227" s="474" t="s">
        <v>209</v>
      </c>
      <c r="I227" s="459"/>
      <c r="J227" s="459"/>
      <c r="K227" s="459"/>
      <c r="L227" s="459"/>
      <c r="M227" s="460"/>
      <c r="N227" s="500"/>
      <c r="O227" s="501"/>
      <c r="P227" s="103" t="s">
        <v>173</v>
      </c>
      <c r="Q227" s="500"/>
      <c r="R227" s="501"/>
      <c r="S227" s="82" t="s">
        <v>173</v>
      </c>
      <c r="T227" s="488"/>
      <c r="U227" s="489"/>
      <c r="V227" s="490"/>
      <c r="W227" s="490"/>
      <c r="X227" s="32"/>
    </row>
    <row r="228" spans="1:25" s="33" customFormat="1" ht="20.100000000000001" customHeight="1">
      <c r="A228" s="8"/>
      <c r="B228" s="8"/>
      <c r="C228" s="11"/>
      <c r="D228" s="441">
        <v>82</v>
      </c>
      <c r="E228" s="486"/>
      <c r="F228" s="451" t="s">
        <v>210</v>
      </c>
      <c r="G228" s="453"/>
      <c r="H228" s="448" t="s">
        <v>211</v>
      </c>
      <c r="I228" s="449"/>
      <c r="J228" s="449"/>
      <c r="K228" s="449"/>
      <c r="L228" s="449"/>
      <c r="M228" s="450"/>
      <c r="N228" s="494"/>
      <c r="O228" s="495"/>
      <c r="P228" s="101" t="s">
        <v>173</v>
      </c>
      <c r="Q228" s="494"/>
      <c r="R228" s="495"/>
      <c r="S228" s="79" t="s">
        <v>173</v>
      </c>
      <c r="T228" s="488"/>
      <c r="U228" s="489"/>
      <c r="V228" s="490"/>
      <c r="W228" s="490"/>
      <c r="X228" s="32"/>
    </row>
    <row r="229" spans="1:25" s="33" customFormat="1" ht="20.100000000000001" customHeight="1">
      <c r="A229" s="8"/>
      <c r="B229" s="8"/>
      <c r="C229" s="11"/>
      <c r="D229" s="441">
        <v>83</v>
      </c>
      <c r="E229" s="486"/>
      <c r="F229" s="451" t="s">
        <v>210</v>
      </c>
      <c r="G229" s="453"/>
      <c r="H229" s="448" t="s">
        <v>212</v>
      </c>
      <c r="I229" s="449"/>
      <c r="J229" s="449"/>
      <c r="K229" s="449"/>
      <c r="L229" s="449"/>
      <c r="M229" s="450"/>
      <c r="N229" s="494"/>
      <c r="O229" s="495"/>
      <c r="P229" s="101" t="s">
        <v>173</v>
      </c>
      <c r="Q229" s="494"/>
      <c r="R229" s="495"/>
      <c r="S229" s="79" t="s">
        <v>173</v>
      </c>
      <c r="T229" s="488"/>
      <c r="U229" s="489"/>
      <c r="V229" s="490"/>
      <c r="W229" s="490"/>
      <c r="X229" s="32"/>
    </row>
    <row r="230" spans="1:25" s="33" customFormat="1" ht="20.100000000000001" customHeight="1">
      <c r="A230" s="8"/>
      <c r="B230" s="8"/>
      <c r="C230" s="11"/>
      <c r="D230" s="442">
        <v>84</v>
      </c>
      <c r="E230" s="487"/>
      <c r="F230" s="509" t="s">
        <v>213</v>
      </c>
      <c r="G230" s="510"/>
      <c r="H230" s="454" t="s">
        <v>214</v>
      </c>
      <c r="I230" s="455"/>
      <c r="J230" s="455"/>
      <c r="K230" s="455"/>
      <c r="L230" s="455"/>
      <c r="M230" s="456"/>
      <c r="N230" s="496"/>
      <c r="O230" s="497"/>
      <c r="P230" s="102" t="s">
        <v>173</v>
      </c>
      <c r="Q230" s="496"/>
      <c r="R230" s="497"/>
      <c r="S230" s="81" t="s">
        <v>173</v>
      </c>
      <c r="T230" s="488"/>
      <c r="U230" s="489"/>
      <c r="V230" s="490"/>
      <c r="W230" s="490"/>
      <c r="X230" s="32"/>
    </row>
    <row r="231" spans="1:25" s="33" customFormat="1" ht="20.100000000000001" customHeight="1">
      <c r="A231" s="8"/>
      <c r="B231" s="8"/>
      <c r="C231" s="11"/>
      <c r="D231" s="444">
        <v>85</v>
      </c>
      <c r="E231" s="511" t="s">
        <v>215</v>
      </c>
      <c r="F231" s="511"/>
      <c r="G231" s="511"/>
      <c r="H231" s="511"/>
      <c r="I231" s="511"/>
      <c r="J231" s="511"/>
      <c r="K231" s="511"/>
      <c r="L231" s="511"/>
      <c r="M231" s="512"/>
      <c r="N231" s="498"/>
      <c r="O231" s="499"/>
      <c r="P231" s="107" t="s">
        <v>173</v>
      </c>
      <c r="Q231" s="498"/>
      <c r="R231" s="499"/>
      <c r="S231" s="84" t="s">
        <v>173</v>
      </c>
      <c r="T231" s="488"/>
      <c r="U231" s="489"/>
      <c r="V231" s="490"/>
      <c r="W231" s="490"/>
      <c r="X231" s="32"/>
    </row>
    <row r="232" spans="1:25" s="33" customFormat="1" ht="20.100000000000001" customHeight="1">
      <c r="A232" s="8"/>
      <c r="B232" s="8"/>
      <c r="C232" s="11"/>
      <c r="D232" s="440">
        <v>86</v>
      </c>
      <c r="E232" s="459" t="s">
        <v>216</v>
      </c>
      <c r="F232" s="459"/>
      <c r="G232" s="459"/>
      <c r="H232" s="459"/>
      <c r="I232" s="459"/>
      <c r="J232" s="459"/>
      <c r="K232" s="459"/>
      <c r="L232" s="459"/>
      <c r="M232" s="460"/>
      <c r="N232" s="500"/>
      <c r="O232" s="501"/>
      <c r="P232" s="103" t="s">
        <v>173</v>
      </c>
      <c r="Q232" s="500"/>
      <c r="R232" s="501"/>
      <c r="S232" s="82" t="s">
        <v>173</v>
      </c>
      <c r="T232" s="488"/>
      <c r="U232" s="489"/>
      <c r="V232" s="490"/>
      <c r="W232" s="490"/>
      <c r="X232" s="32"/>
    </row>
    <row r="233" spans="1:25" s="33" customFormat="1" ht="20.100000000000001" customHeight="1">
      <c r="A233" s="8"/>
      <c r="B233" s="8"/>
      <c r="C233" s="11"/>
      <c r="D233" s="441">
        <v>87</v>
      </c>
      <c r="E233" s="449" t="s">
        <v>217</v>
      </c>
      <c r="F233" s="449"/>
      <c r="G233" s="449"/>
      <c r="H233" s="449"/>
      <c r="I233" s="449"/>
      <c r="J233" s="449"/>
      <c r="K233" s="449"/>
      <c r="L233" s="449"/>
      <c r="M233" s="450"/>
      <c r="N233" s="494"/>
      <c r="O233" s="495"/>
      <c r="P233" s="101" t="s">
        <v>173</v>
      </c>
      <c r="Q233" s="494"/>
      <c r="R233" s="495"/>
      <c r="S233" s="79" t="s">
        <v>173</v>
      </c>
      <c r="T233" s="488"/>
      <c r="U233" s="489"/>
      <c r="V233" s="490"/>
      <c r="W233" s="490"/>
      <c r="X233" s="32"/>
    </row>
    <row r="234" spans="1:25" s="33" customFormat="1" ht="20.100000000000001" customHeight="1">
      <c r="A234" s="8"/>
      <c r="B234" s="8"/>
      <c r="C234" s="11"/>
      <c r="D234" s="441">
        <v>88</v>
      </c>
      <c r="E234" s="449" t="s">
        <v>218</v>
      </c>
      <c r="F234" s="449"/>
      <c r="G234" s="449"/>
      <c r="H234" s="449"/>
      <c r="I234" s="449"/>
      <c r="J234" s="449"/>
      <c r="K234" s="449"/>
      <c r="L234" s="449"/>
      <c r="M234" s="450"/>
      <c r="N234" s="494"/>
      <c r="O234" s="495"/>
      <c r="P234" s="101" t="s">
        <v>173</v>
      </c>
      <c r="Q234" s="494"/>
      <c r="R234" s="495"/>
      <c r="S234" s="79" t="s">
        <v>173</v>
      </c>
      <c r="T234" s="488"/>
      <c r="U234" s="489"/>
      <c r="V234" s="490"/>
      <c r="W234" s="490"/>
      <c r="X234" s="32"/>
    </row>
    <row r="235" spans="1:25" s="33" customFormat="1" ht="20.100000000000001" customHeight="1">
      <c r="A235" s="8"/>
      <c r="B235" s="8"/>
      <c r="C235" s="11"/>
      <c r="D235" s="441">
        <v>89</v>
      </c>
      <c r="E235" s="449" t="s">
        <v>219</v>
      </c>
      <c r="F235" s="449"/>
      <c r="G235" s="449"/>
      <c r="H235" s="449"/>
      <c r="I235" s="449"/>
      <c r="J235" s="449"/>
      <c r="K235" s="449"/>
      <c r="L235" s="449"/>
      <c r="M235" s="450"/>
      <c r="N235" s="494"/>
      <c r="O235" s="495"/>
      <c r="P235" s="101" t="s">
        <v>173</v>
      </c>
      <c r="Q235" s="494"/>
      <c r="R235" s="495"/>
      <c r="S235" s="79" t="s">
        <v>173</v>
      </c>
      <c r="T235" s="488"/>
      <c r="U235" s="489"/>
      <c r="V235" s="490"/>
      <c r="W235" s="490"/>
      <c r="X235" s="32"/>
    </row>
    <row r="236" spans="1:25" s="33" customFormat="1" ht="20.100000000000001" customHeight="1">
      <c r="A236" s="8"/>
      <c r="B236" s="8"/>
      <c r="C236" s="11"/>
      <c r="D236" s="442">
        <v>90</v>
      </c>
      <c r="E236" s="455" t="s">
        <v>220</v>
      </c>
      <c r="F236" s="455"/>
      <c r="G236" s="455"/>
      <c r="H236" s="455"/>
      <c r="I236" s="455"/>
      <c r="J236" s="455"/>
      <c r="K236" s="455"/>
      <c r="L236" s="455"/>
      <c r="M236" s="456"/>
      <c r="N236" s="496"/>
      <c r="O236" s="497"/>
      <c r="P236" s="102" t="s">
        <v>173</v>
      </c>
      <c r="Q236" s="496"/>
      <c r="R236" s="497"/>
      <c r="S236" s="81" t="s">
        <v>173</v>
      </c>
      <c r="T236" s="488"/>
      <c r="U236" s="489"/>
      <c r="V236" s="490"/>
      <c r="W236" s="490"/>
      <c r="X236" s="32"/>
    </row>
    <row r="237" spans="1:25" s="33" customFormat="1" ht="5.0999999999999996" customHeight="1">
      <c r="A237" s="8"/>
      <c r="B237" s="8"/>
      <c r="C237" s="24"/>
      <c r="D237" s="85"/>
      <c r="E237" s="85"/>
      <c r="F237" s="85"/>
      <c r="G237" s="85"/>
      <c r="H237" s="85"/>
      <c r="I237" s="85"/>
      <c r="J237" s="83"/>
      <c r="K237" s="83"/>
      <c r="L237" s="83"/>
      <c r="M237" s="83"/>
      <c r="N237" s="83"/>
      <c r="O237" s="83"/>
      <c r="P237" s="83"/>
      <c r="Q237" s="83"/>
      <c r="R237" s="83"/>
      <c r="S237" s="83"/>
      <c r="T237" s="83"/>
      <c r="U237" s="83"/>
      <c r="V237" s="83"/>
      <c r="W237" s="83"/>
      <c r="X237" s="26"/>
    </row>
    <row r="238" spans="1:25" s="33" customFormat="1" ht="9.9499999999999993" customHeight="1">
      <c r="A238" s="8"/>
      <c r="B238" s="8"/>
      <c r="C238" s="80"/>
      <c r="D238" s="80"/>
      <c r="E238" s="80"/>
      <c r="F238" s="80"/>
      <c r="G238" s="80"/>
      <c r="H238" s="80"/>
      <c r="I238" s="80"/>
      <c r="J238" s="78"/>
      <c r="K238" s="78"/>
      <c r="L238" s="78"/>
      <c r="M238" s="78"/>
      <c r="N238" s="78"/>
      <c r="O238" s="78"/>
      <c r="P238" s="78"/>
      <c r="Q238" s="78"/>
      <c r="R238" s="78"/>
      <c r="S238" s="78"/>
      <c r="T238" s="78"/>
      <c r="U238" s="78"/>
      <c r="V238" s="78"/>
      <c r="W238" s="78"/>
      <c r="X238" s="78"/>
      <c r="Y238" s="80"/>
    </row>
    <row r="239" spans="1:25" s="33" customFormat="1" ht="9.9499999999999993" customHeight="1">
      <c r="A239" s="8"/>
      <c r="B239" s="8"/>
      <c r="C239" s="42"/>
      <c r="D239" s="42"/>
      <c r="E239" s="42"/>
      <c r="F239" s="42"/>
      <c r="G239" s="42"/>
      <c r="H239" s="42"/>
      <c r="I239" s="42"/>
      <c r="J239" s="43"/>
      <c r="K239" s="43"/>
      <c r="L239" s="78"/>
      <c r="M239" s="42"/>
      <c r="N239" s="42"/>
      <c r="O239" s="42"/>
      <c r="P239" s="42"/>
      <c r="Q239" s="42"/>
      <c r="R239" s="42"/>
      <c r="S239" s="42"/>
      <c r="T239" s="42"/>
      <c r="U239" s="42"/>
      <c r="V239" s="42"/>
      <c r="W239" s="42"/>
      <c r="X239" s="42"/>
      <c r="Y239" s="42"/>
    </row>
    <row r="240" spans="1:25" s="33" customFormat="1" ht="20.100000000000001" customHeight="1">
      <c r="A240" s="8"/>
      <c r="B240" s="8"/>
      <c r="C240" s="643" t="s">
        <v>86</v>
      </c>
      <c r="D240" s="644"/>
      <c r="E240" s="644"/>
      <c r="F240" s="644"/>
      <c r="G240" s="644"/>
      <c r="H240" s="644"/>
      <c r="I240" s="645"/>
    </row>
    <row r="241" spans="1:25" s="33" customFormat="1" ht="8.1" customHeight="1">
      <c r="A241" s="8"/>
      <c r="B241" s="8"/>
      <c r="C241" s="11"/>
      <c r="D241" s="12"/>
      <c r="E241" s="12"/>
      <c r="F241" s="12"/>
      <c r="G241" s="12"/>
      <c r="H241" s="12"/>
      <c r="I241" s="12"/>
      <c r="J241" s="13"/>
      <c r="K241" s="13"/>
      <c r="L241" s="13"/>
      <c r="M241" s="13"/>
      <c r="N241" s="13"/>
      <c r="O241" s="13"/>
      <c r="P241" s="13"/>
      <c r="Q241" s="13"/>
      <c r="R241" s="13"/>
      <c r="S241" s="13"/>
      <c r="T241" s="13"/>
      <c r="U241" s="13"/>
      <c r="V241" s="13"/>
      <c r="W241" s="13"/>
      <c r="X241" s="14"/>
    </row>
    <row r="242" spans="1:25" s="33" customFormat="1" ht="27" customHeight="1">
      <c r="A242" s="8"/>
      <c r="B242" s="8"/>
      <c r="C242" s="11"/>
      <c r="D242" s="476" t="s">
        <v>446</v>
      </c>
      <c r="E242" s="473"/>
      <c r="F242" s="473"/>
      <c r="G242" s="473"/>
      <c r="H242" s="473"/>
      <c r="I242" s="473"/>
      <c r="J242" s="473"/>
      <c r="K242" s="473"/>
      <c r="L242" s="473"/>
      <c r="M242" s="473"/>
      <c r="N242" s="473"/>
      <c r="O242" s="473"/>
      <c r="P242" s="473"/>
      <c r="Q242" s="473"/>
      <c r="R242" s="473"/>
      <c r="S242" s="473"/>
      <c r="T242" s="473"/>
      <c r="U242" s="473"/>
      <c r="V242" s="473"/>
      <c r="W242" s="473"/>
      <c r="X242" s="17"/>
    </row>
    <row r="243" spans="1:25" s="33" customFormat="1" ht="15" customHeight="1">
      <c r="A243" s="8"/>
      <c r="B243" s="8"/>
      <c r="C243" s="11"/>
      <c r="D243" s="473" t="s">
        <v>440</v>
      </c>
      <c r="E243" s="473"/>
      <c r="F243" s="473"/>
      <c r="G243" s="473"/>
      <c r="H243" s="473"/>
      <c r="I243" s="473"/>
      <c r="J243" s="473"/>
      <c r="K243" s="473"/>
      <c r="L243" s="473"/>
      <c r="M243" s="473"/>
      <c r="N243" s="473"/>
      <c r="O243" s="473"/>
      <c r="P243" s="473"/>
      <c r="Q243" s="473"/>
      <c r="R243" s="473"/>
      <c r="S243" s="473"/>
      <c r="T243" s="473"/>
      <c r="U243" s="473"/>
      <c r="V243" s="473"/>
      <c r="W243" s="473"/>
      <c r="X243" s="17"/>
    </row>
    <row r="244" spans="1:25" s="33" customFormat="1" ht="30" customHeight="1">
      <c r="A244" s="8"/>
      <c r="B244" s="8"/>
      <c r="C244" s="11"/>
      <c r="D244" s="476" t="s">
        <v>441</v>
      </c>
      <c r="E244" s="473"/>
      <c r="F244" s="473"/>
      <c r="G244" s="473"/>
      <c r="H244" s="473"/>
      <c r="I244" s="473"/>
      <c r="J244" s="473"/>
      <c r="K244" s="473"/>
      <c r="L244" s="473"/>
      <c r="M244" s="473"/>
      <c r="N244" s="473"/>
      <c r="O244" s="473"/>
      <c r="P244" s="473"/>
      <c r="Q244" s="473"/>
      <c r="R244" s="473"/>
      <c r="S244" s="473"/>
      <c r="T244" s="473"/>
      <c r="U244" s="473"/>
      <c r="V244" s="473"/>
      <c r="W244" s="473"/>
      <c r="X244" s="17"/>
    </row>
    <row r="245" spans="1:25" s="33" customFormat="1" ht="30" customHeight="1">
      <c r="A245" s="8"/>
      <c r="B245" s="8"/>
      <c r="C245" s="11"/>
      <c r="D245" s="38"/>
      <c r="E245" s="633" t="s">
        <v>133</v>
      </c>
      <c r="F245" s="633"/>
      <c r="G245" s="633"/>
      <c r="H245" s="633"/>
      <c r="I245" s="633"/>
      <c r="J245" s="98"/>
      <c r="K245" s="469" t="s">
        <v>398</v>
      </c>
      <c r="L245" s="470"/>
      <c r="M245" s="99" t="s">
        <v>135</v>
      </c>
      <c r="N245" s="634" t="s">
        <v>132</v>
      </c>
      <c r="O245" s="635"/>
      <c r="P245" s="636" t="s">
        <v>136</v>
      </c>
      <c r="Q245" s="637"/>
      <c r="R245" s="638"/>
      <c r="S245" s="639" t="s">
        <v>420</v>
      </c>
      <c r="T245" s="637"/>
      <c r="U245" s="640" t="s">
        <v>439</v>
      </c>
      <c r="V245" s="641"/>
      <c r="W245" s="642"/>
      <c r="X245" s="32"/>
    </row>
    <row r="246" spans="1:25" s="33" customFormat="1" ht="20.100000000000001" customHeight="1">
      <c r="A246" s="8">
        <f>IF(AND(K246="する",  OR(S246="", U246="")), 1104,0)</f>
        <v>0</v>
      </c>
      <c r="B246" s="8"/>
      <c r="C246" s="15"/>
      <c r="D246" s="39">
        <v>1</v>
      </c>
      <c r="E246" s="505" t="s">
        <v>421</v>
      </c>
      <c r="F246" s="474" t="s">
        <v>97</v>
      </c>
      <c r="G246" s="459"/>
      <c r="H246" s="459"/>
      <c r="I246" s="460"/>
      <c r="J246" s="57" t="str">
        <f>IF(K246="する",IF(AND(TRIM($S$246)&lt;&gt;"", TRIM($U$246)&lt;&gt;""), "●", "○"),"")</f>
        <v/>
      </c>
      <c r="K246" s="611"/>
      <c r="L246" s="612"/>
      <c r="M246" s="59"/>
      <c r="N246" s="599"/>
      <c r="O246" s="600"/>
      <c r="P246" s="589" t="s">
        <v>137</v>
      </c>
      <c r="Q246" s="590"/>
      <c r="R246" s="591"/>
      <c r="S246" s="549"/>
      <c r="T246" s="550"/>
      <c r="U246" s="575"/>
      <c r="V246" s="601"/>
      <c r="W246" s="602"/>
      <c r="X246" s="17"/>
      <c r="Y246" s="42"/>
    </row>
    <row r="247" spans="1:25" s="33" customFormat="1" ht="20.100000000000001" customHeight="1">
      <c r="A247" s="8">
        <f>IF(AND(K247="する",  OR(S246="", U246="")), 1104,0)</f>
        <v>0</v>
      </c>
      <c r="B247" s="8"/>
      <c r="C247" s="15"/>
      <c r="D247" s="15">
        <v>2</v>
      </c>
      <c r="E247" s="613"/>
      <c r="F247" s="448" t="s">
        <v>149</v>
      </c>
      <c r="G247" s="449"/>
      <c r="H247" s="449"/>
      <c r="I247" s="450"/>
      <c r="J247" s="60" t="str">
        <f>IF(K247="する",IF(AND(TRIM($S$246)&lt;&gt;"", TRIM($U$246)&lt;&gt;""), "●", "○"),"")</f>
        <v/>
      </c>
      <c r="K247" s="461"/>
      <c r="L247" s="462"/>
      <c r="M247" s="62"/>
      <c r="N247" s="585"/>
      <c r="O247" s="586"/>
      <c r="P247" s="592"/>
      <c r="Q247" s="593"/>
      <c r="R247" s="594"/>
      <c r="S247" s="551"/>
      <c r="T247" s="552"/>
      <c r="U247" s="578"/>
      <c r="V247" s="603"/>
      <c r="W247" s="604"/>
      <c r="X247" s="17"/>
      <c r="Y247" s="42"/>
    </row>
    <row r="248" spans="1:25" s="33" customFormat="1" ht="20.100000000000001" customHeight="1">
      <c r="A248" s="8">
        <f>IF(AND(K248="する",  OR(S246="", U246="")), 1104,0)</f>
        <v>0</v>
      </c>
      <c r="B248" s="8"/>
      <c r="C248" s="15"/>
      <c r="D248" s="40">
        <v>3</v>
      </c>
      <c r="E248" s="614"/>
      <c r="F248" s="454" t="s">
        <v>98</v>
      </c>
      <c r="G248" s="455"/>
      <c r="H248" s="455"/>
      <c r="I248" s="456"/>
      <c r="J248" s="63" t="str">
        <f>IF(K248="する",IF(AND(TRIM($S$246)&lt;&gt;"", TRIM($U$246)&lt;&gt;""), "●", "○"),"")</f>
        <v/>
      </c>
      <c r="K248" s="463"/>
      <c r="L248" s="464"/>
      <c r="M248" s="65"/>
      <c r="N248" s="608"/>
      <c r="O248" s="588"/>
      <c r="P248" s="595"/>
      <c r="Q248" s="596"/>
      <c r="R248" s="597"/>
      <c r="S248" s="598"/>
      <c r="T248" s="555"/>
      <c r="U248" s="605"/>
      <c r="V248" s="606"/>
      <c r="W248" s="607"/>
      <c r="X248" s="17"/>
      <c r="Y248" s="42"/>
    </row>
    <row r="249" spans="1:25" s="33" customFormat="1" ht="20.100000000000001" customHeight="1">
      <c r="A249" s="8">
        <f>IF(AND(K249="する",  OR(S249="", U249="")), 1104,0)</f>
        <v>0</v>
      </c>
      <c r="B249" s="8"/>
      <c r="C249" s="15"/>
      <c r="D249" s="39">
        <v>4</v>
      </c>
      <c r="E249" s="505" t="s">
        <v>428</v>
      </c>
      <c r="F249" s="474" t="s">
        <v>429</v>
      </c>
      <c r="G249" s="459"/>
      <c r="H249" s="459"/>
      <c r="I249" s="460"/>
      <c r="J249" s="57" t="str">
        <f>IF(K249="する",IF(AND(TRIM($S$249)&lt;&gt;"", TRIM($U$249)&lt;&gt;""), "●", "○"),"")</f>
        <v/>
      </c>
      <c r="K249" s="611"/>
      <c r="L249" s="612"/>
      <c r="M249" s="59"/>
      <c r="N249" s="609"/>
      <c r="O249" s="610"/>
      <c r="P249" s="589" t="s">
        <v>422</v>
      </c>
      <c r="Q249" s="590"/>
      <c r="R249" s="591"/>
      <c r="S249" s="549"/>
      <c r="T249" s="550"/>
      <c r="U249" s="575"/>
      <c r="V249" s="601"/>
      <c r="W249" s="602"/>
      <c r="X249" s="17"/>
      <c r="Y249" s="42"/>
    </row>
    <row r="250" spans="1:25" s="33" customFormat="1" ht="20.100000000000001" customHeight="1">
      <c r="A250" s="8">
        <f>IF(AND(K250="する",  OR(S249="", U249="")), 1104,0)</f>
        <v>0</v>
      </c>
      <c r="B250" s="8"/>
      <c r="C250" s="15"/>
      <c r="D250" s="15">
        <v>5</v>
      </c>
      <c r="E250" s="506"/>
      <c r="F250" s="448" t="s">
        <v>430</v>
      </c>
      <c r="G250" s="449"/>
      <c r="H250" s="449"/>
      <c r="I250" s="450"/>
      <c r="J250" s="60" t="str">
        <f>IF(K250="する",IF(AND(TRIM($S$249)&lt;&gt;"", TRIM($U$249)&lt;&gt;""), "●", "○"),"")</f>
        <v/>
      </c>
      <c r="K250" s="461"/>
      <c r="L250" s="462"/>
      <c r="M250" s="62"/>
      <c r="N250" s="585"/>
      <c r="O250" s="586"/>
      <c r="P250" s="592"/>
      <c r="Q250" s="593"/>
      <c r="R250" s="594"/>
      <c r="S250" s="551"/>
      <c r="T250" s="552"/>
      <c r="U250" s="578"/>
      <c r="V250" s="603"/>
      <c r="W250" s="604"/>
      <c r="X250" s="17"/>
      <c r="Y250" s="42"/>
    </row>
    <row r="251" spans="1:25" s="33" customFormat="1" ht="20.100000000000001" customHeight="1">
      <c r="A251" s="8">
        <f>IF(AND(K251="する",  OR(S249="", U249="")), 1104,0)</f>
        <v>0</v>
      </c>
      <c r="B251" s="8"/>
      <c r="C251" s="15"/>
      <c r="D251" s="15">
        <v>6</v>
      </c>
      <c r="E251" s="506"/>
      <c r="F251" s="454" t="s">
        <v>431</v>
      </c>
      <c r="G251" s="455"/>
      <c r="H251" s="455"/>
      <c r="I251" s="456"/>
      <c r="J251" s="63" t="str">
        <f>IF(K251="する",IF(AND(TRIM($S$249)&lt;&gt;"", TRIM($U$249)&lt;&gt;""), "●", "○"),"")</f>
        <v/>
      </c>
      <c r="K251" s="463"/>
      <c r="L251" s="464"/>
      <c r="M251" s="65"/>
      <c r="N251" s="608"/>
      <c r="O251" s="588"/>
      <c r="P251" s="595"/>
      <c r="Q251" s="596"/>
      <c r="R251" s="597"/>
      <c r="S251" s="598"/>
      <c r="T251" s="555"/>
      <c r="U251" s="605"/>
      <c r="V251" s="606"/>
      <c r="W251" s="607"/>
      <c r="X251" s="17"/>
      <c r="Y251" s="42"/>
    </row>
    <row r="252" spans="1:25" s="33" customFormat="1" ht="20.100000000000001" customHeight="1">
      <c r="A252" s="8"/>
      <c r="B252" s="8"/>
      <c r="C252" s="15"/>
      <c r="D252" s="15">
        <v>7</v>
      </c>
      <c r="E252" s="506"/>
      <c r="F252" s="616" t="s">
        <v>150</v>
      </c>
      <c r="G252" s="617"/>
      <c r="H252" s="617"/>
      <c r="I252" s="618"/>
      <c r="J252" s="66" t="str">
        <f>IF(K252="する","○", "")</f>
        <v/>
      </c>
      <c r="K252" s="611"/>
      <c r="L252" s="612"/>
      <c r="M252" s="67"/>
      <c r="N252" s="619"/>
      <c r="O252" s="620"/>
      <c r="P252" s="560"/>
      <c r="Q252" s="561"/>
      <c r="R252" s="562"/>
      <c r="S252" s="566"/>
      <c r="T252" s="566"/>
      <c r="U252" s="569"/>
      <c r="V252" s="570"/>
      <c r="W252" s="571"/>
      <c r="X252" s="17"/>
      <c r="Y252" s="42"/>
    </row>
    <row r="253" spans="1:25" s="33" customFormat="1" ht="20.100000000000001" customHeight="1">
      <c r="A253" s="8"/>
      <c r="B253" s="8"/>
      <c r="C253" s="15"/>
      <c r="D253" s="15">
        <v>8</v>
      </c>
      <c r="E253" s="506"/>
      <c r="F253" s="448" t="s">
        <v>102</v>
      </c>
      <c r="G253" s="449"/>
      <c r="H253" s="449"/>
      <c r="I253" s="450"/>
      <c r="J253" s="60" t="str">
        <f t="shared" ref="J253:J259" si="0">IF(K253="する","○", "")</f>
        <v/>
      </c>
      <c r="K253" s="461"/>
      <c r="L253" s="462"/>
      <c r="M253" s="62"/>
      <c r="N253" s="585"/>
      <c r="O253" s="586"/>
      <c r="P253" s="560"/>
      <c r="Q253" s="561"/>
      <c r="R253" s="562"/>
      <c r="S253" s="566"/>
      <c r="T253" s="566"/>
      <c r="U253" s="569"/>
      <c r="V253" s="570"/>
      <c r="W253" s="571"/>
      <c r="X253" s="17"/>
      <c r="Y253" s="42"/>
    </row>
    <row r="254" spans="1:25" s="33" customFormat="1" ht="20.100000000000001" customHeight="1">
      <c r="A254" s="8"/>
      <c r="B254" s="8"/>
      <c r="C254" s="15"/>
      <c r="D254" s="15">
        <v>9</v>
      </c>
      <c r="E254" s="506"/>
      <c r="F254" s="448" t="s">
        <v>103</v>
      </c>
      <c r="G254" s="449"/>
      <c r="H254" s="449"/>
      <c r="I254" s="450"/>
      <c r="J254" s="60" t="str">
        <f t="shared" si="0"/>
        <v/>
      </c>
      <c r="K254" s="461"/>
      <c r="L254" s="462"/>
      <c r="M254" s="62"/>
      <c r="N254" s="585"/>
      <c r="O254" s="586"/>
      <c r="P254" s="560"/>
      <c r="Q254" s="561"/>
      <c r="R254" s="562"/>
      <c r="S254" s="566"/>
      <c r="T254" s="566"/>
      <c r="U254" s="569"/>
      <c r="V254" s="570"/>
      <c r="W254" s="571"/>
      <c r="X254" s="17"/>
      <c r="Y254" s="42"/>
    </row>
    <row r="255" spans="1:25" s="33" customFormat="1" ht="20.100000000000001" customHeight="1">
      <c r="A255" s="8"/>
      <c r="B255" s="8"/>
      <c r="C255" s="15"/>
      <c r="D255" s="15">
        <v>10</v>
      </c>
      <c r="E255" s="506"/>
      <c r="F255" s="448" t="s">
        <v>104</v>
      </c>
      <c r="G255" s="449"/>
      <c r="H255" s="449"/>
      <c r="I255" s="450"/>
      <c r="J255" s="60" t="str">
        <f t="shared" si="0"/>
        <v/>
      </c>
      <c r="K255" s="461"/>
      <c r="L255" s="462"/>
      <c r="M255" s="62"/>
      <c r="N255" s="585"/>
      <c r="O255" s="586"/>
      <c r="P255" s="560"/>
      <c r="Q255" s="561"/>
      <c r="R255" s="562"/>
      <c r="S255" s="566"/>
      <c r="T255" s="566"/>
      <c r="U255" s="569"/>
      <c r="V255" s="570"/>
      <c r="W255" s="571"/>
      <c r="X255" s="17"/>
      <c r="Y255" s="42"/>
    </row>
    <row r="256" spans="1:25" s="33" customFormat="1" ht="20.100000000000001" customHeight="1">
      <c r="A256" s="8"/>
      <c r="B256" s="8"/>
      <c r="C256" s="15"/>
      <c r="D256" s="15">
        <v>11</v>
      </c>
      <c r="E256" s="506"/>
      <c r="F256" s="448" t="s">
        <v>105</v>
      </c>
      <c r="G256" s="449"/>
      <c r="H256" s="449"/>
      <c r="I256" s="450"/>
      <c r="J256" s="60" t="str">
        <f t="shared" si="0"/>
        <v/>
      </c>
      <c r="K256" s="461"/>
      <c r="L256" s="462"/>
      <c r="M256" s="62"/>
      <c r="N256" s="585"/>
      <c r="O256" s="586"/>
      <c r="P256" s="560"/>
      <c r="Q256" s="561"/>
      <c r="R256" s="562"/>
      <c r="S256" s="566"/>
      <c r="T256" s="566"/>
      <c r="U256" s="569"/>
      <c r="V256" s="570"/>
      <c r="W256" s="571"/>
      <c r="X256" s="17"/>
      <c r="Y256" s="42"/>
    </row>
    <row r="257" spans="1:25" s="33" customFormat="1" ht="20.100000000000001" customHeight="1">
      <c r="A257" s="8"/>
      <c r="B257" s="8"/>
      <c r="C257" s="15"/>
      <c r="D257" s="15">
        <v>12</v>
      </c>
      <c r="E257" s="506"/>
      <c r="F257" s="448" t="s">
        <v>106</v>
      </c>
      <c r="G257" s="449"/>
      <c r="H257" s="449"/>
      <c r="I257" s="450"/>
      <c r="J257" s="60" t="str">
        <f t="shared" si="0"/>
        <v/>
      </c>
      <c r="K257" s="461"/>
      <c r="L257" s="462"/>
      <c r="M257" s="62"/>
      <c r="N257" s="585"/>
      <c r="O257" s="586"/>
      <c r="P257" s="560"/>
      <c r="Q257" s="561"/>
      <c r="R257" s="562"/>
      <c r="S257" s="566"/>
      <c r="T257" s="566"/>
      <c r="U257" s="569"/>
      <c r="V257" s="570"/>
      <c r="W257" s="571"/>
      <c r="X257" s="17"/>
      <c r="Y257" s="42"/>
    </row>
    <row r="258" spans="1:25" s="33" customFormat="1" ht="20.100000000000001" customHeight="1">
      <c r="A258" s="8"/>
      <c r="B258" s="8"/>
      <c r="C258" s="15"/>
      <c r="D258" s="15">
        <v>13</v>
      </c>
      <c r="E258" s="506"/>
      <c r="F258" s="448" t="s">
        <v>151</v>
      </c>
      <c r="G258" s="449"/>
      <c r="H258" s="449"/>
      <c r="I258" s="450"/>
      <c r="J258" s="60" t="str">
        <f t="shared" si="0"/>
        <v/>
      </c>
      <c r="K258" s="461"/>
      <c r="L258" s="462"/>
      <c r="M258" s="62"/>
      <c r="N258" s="585"/>
      <c r="O258" s="586"/>
      <c r="P258" s="560"/>
      <c r="Q258" s="561"/>
      <c r="R258" s="562"/>
      <c r="S258" s="566"/>
      <c r="T258" s="566"/>
      <c r="U258" s="569"/>
      <c r="V258" s="570"/>
      <c r="W258" s="571"/>
      <c r="X258" s="17"/>
      <c r="Y258" s="55"/>
    </row>
    <row r="259" spans="1:25" s="33" customFormat="1" ht="20.100000000000001" customHeight="1">
      <c r="A259" s="8"/>
      <c r="B259" s="8"/>
      <c r="C259" s="15"/>
      <c r="D259" s="15">
        <v>14</v>
      </c>
      <c r="E259" s="615"/>
      <c r="F259" s="454" t="s">
        <v>152</v>
      </c>
      <c r="G259" s="455"/>
      <c r="H259" s="455"/>
      <c r="I259" s="456"/>
      <c r="J259" s="63" t="str">
        <f t="shared" si="0"/>
        <v/>
      </c>
      <c r="K259" s="463"/>
      <c r="L259" s="464"/>
      <c r="M259" s="109"/>
      <c r="N259" s="587"/>
      <c r="O259" s="588"/>
      <c r="P259" s="563"/>
      <c r="Q259" s="564"/>
      <c r="R259" s="565"/>
      <c r="S259" s="567"/>
      <c r="T259" s="568"/>
      <c r="U259" s="572"/>
      <c r="V259" s="573"/>
      <c r="W259" s="574"/>
      <c r="X259" s="17"/>
      <c r="Y259" s="42"/>
    </row>
    <row r="260" spans="1:25" s="33" customFormat="1" ht="20.100000000000001" customHeight="1">
      <c r="A260" s="8">
        <f>IF(AND(M260="あり", OR(OR(N260="", N260&lt;0), S260="", U260="")), 1104, 0)</f>
        <v>0</v>
      </c>
      <c r="B260" s="8"/>
      <c r="C260" s="15"/>
      <c r="D260" s="15">
        <v>15</v>
      </c>
      <c r="E260" s="532" t="s">
        <v>426</v>
      </c>
      <c r="F260" s="513" t="s">
        <v>153</v>
      </c>
      <c r="G260" s="529"/>
      <c r="H260" s="529"/>
      <c r="I260" s="514"/>
      <c r="J260" s="60" t="str">
        <f t="shared" ref="J260:J280" si="1">IF(K260="する",IF(AND($M260="あり",TRIM($S$260)&lt;&gt;"", TRIM($U$260)&lt;&gt;""), "●", "○"),"")</f>
        <v/>
      </c>
      <c r="K260" s="465"/>
      <c r="L260" s="466"/>
      <c r="M260" s="68"/>
      <c r="N260" s="535"/>
      <c r="O260" s="536"/>
      <c r="P260" s="540" t="s">
        <v>138</v>
      </c>
      <c r="Q260" s="541"/>
      <c r="R260" s="542"/>
      <c r="S260" s="549"/>
      <c r="T260" s="550"/>
      <c r="U260" s="575"/>
      <c r="V260" s="576"/>
      <c r="W260" s="577"/>
      <c r="X260" s="17"/>
      <c r="Y260" s="42"/>
    </row>
    <row r="261" spans="1:25" s="33" customFormat="1" ht="20.100000000000001" customHeight="1">
      <c r="A261" s="8">
        <f>IF(AND(M261="あり", OR(OR(N261="", N261&lt;0), S260="", U260="")), 1104, 0)</f>
        <v>0</v>
      </c>
      <c r="B261" s="8"/>
      <c r="C261" s="15"/>
      <c r="D261" s="15">
        <v>16</v>
      </c>
      <c r="E261" s="533"/>
      <c r="F261" s="451" t="s">
        <v>154</v>
      </c>
      <c r="G261" s="452"/>
      <c r="H261" s="452"/>
      <c r="I261" s="453"/>
      <c r="J261" s="60" t="str">
        <f t="shared" si="1"/>
        <v/>
      </c>
      <c r="K261" s="467"/>
      <c r="L261" s="468"/>
      <c r="M261" s="69"/>
      <c r="N261" s="524"/>
      <c r="O261" s="525"/>
      <c r="P261" s="543"/>
      <c r="Q261" s="544"/>
      <c r="R261" s="545"/>
      <c r="S261" s="551"/>
      <c r="T261" s="552"/>
      <c r="U261" s="578"/>
      <c r="V261" s="579"/>
      <c r="W261" s="580"/>
      <c r="X261" s="17"/>
      <c r="Y261" s="42"/>
    </row>
    <row r="262" spans="1:25" s="33" customFormat="1" ht="20.100000000000001" customHeight="1">
      <c r="A262" s="8">
        <f>IF(AND(M262="あり", OR(OR(N262="", N262&lt;0), S260="", U260="")), 1104, 0)</f>
        <v>0</v>
      </c>
      <c r="B262" s="8"/>
      <c r="C262" s="15"/>
      <c r="D262" s="15">
        <v>17</v>
      </c>
      <c r="E262" s="533"/>
      <c r="F262" s="451" t="s">
        <v>107</v>
      </c>
      <c r="G262" s="452"/>
      <c r="H262" s="452"/>
      <c r="I262" s="453"/>
      <c r="J262" s="60" t="str">
        <f t="shared" si="1"/>
        <v/>
      </c>
      <c r="K262" s="467"/>
      <c r="L262" s="468"/>
      <c r="M262" s="69"/>
      <c r="N262" s="524"/>
      <c r="O262" s="525"/>
      <c r="P262" s="543"/>
      <c r="Q262" s="544"/>
      <c r="R262" s="545"/>
      <c r="S262" s="553"/>
      <c r="T262" s="552"/>
      <c r="U262" s="581"/>
      <c r="V262" s="579"/>
      <c r="W262" s="580"/>
      <c r="X262" s="17"/>
      <c r="Y262" s="42"/>
    </row>
    <row r="263" spans="1:25" s="33" customFormat="1" ht="20.100000000000001" customHeight="1">
      <c r="A263" s="8">
        <f>IF(AND(M263="あり", OR(OR(N263="", N263&lt;0), S260="", U260="")), 1104, 0)</f>
        <v>0</v>
      </c>
      <c r="B263" s="8"/>
      <c r="C263" s="15"/>
      <c r="D263" s="15">
        <v>18</v>
      </c>
      <c r="E263" s="533"/>
      <c r="F263" s="451" t="s">
        <v>108</v>
      </c>
      <c r="G263" s="452"/>
      <c r="H263" s="452"/>
      <c r="I263" s="453"/>
      <c r="J263" s="60" t="str">
        <f t="shared" si="1"/>
        <v/>
      </c>
      <c r="K263" s="467"/>
      <c r="L263" s="468"/>
      <c r="M263" s="69"/>
      <c r="N263" s="524"/>
      <c r="O263" s="525"/>
      <c r="P263" s="543"/>
      <c r="Q263" s="544"/>
      <c r="R263" s="545"/>
      <c r="S263" s="553"/>
      <c r="T263" s="552"/>
      <c r="U263" s="581"/>
      <c r="V263" s="579"/>
      <c r="W263" s="580"/>
      <c r="X263" s="17"/>
      <c r="Y263" s="42"/>
    </row>
    <row r="264" spans="1:25" s="33" customFormat="1" ht="20.100000000000001" customHeight="1">
      <c r="A264" s="8">
        <f>IF(AND(M264="あり", OR(OR(N264="", N264&lt;0), S260="", U260="")), 1104, 0)</f>
        <v>0</v>
      </c>
      <c r="B264" s="8"/>
      <c r="C264" s="15"/>
      <c r="D264" s="15">
        <v>19</v>
      </c>
      <c r="E264" s="533"/>
      <c r="F264" s="451" t="s">
        <v>109</v>
      </c>
      <c r="G264" s="452"/>
      <c r="H264" s="452"/>
      <c r="I264" s="453"/>
      <c r="J264" s="60" t="str">
        <f t="shared" si="1"/>
        <v/>
      </c>
      <c r="K264" s="467"/>
      <c r="L264" s="468"/>
      <c r="M264" s="69"/>
      <c r="N264" s="524"/>
      <c r="O264" s="525"/>
      <c r="P264" s="543"/>
      <c r="Q264" s="544"/>
      <c r="R264" s="545"/>
      <c r="S264" s="553"/>
      <c r="T264" s="552"/>
      <c r="U264" s="581"/>
      <c r="V264" s="579"/>
      <c r="W264" s="580"/>
      <c r="X264" s="17"/>
      <c r="Y264" s="42"/>
    </row>
    <row r="265" spans="1:25" s="33" customFormat="1" ht="20.100000000000001" customHeight="1">
      <c r="A265" s="8">
        <f>IF(AND(M265="あり", OR(OR(N265="", N265&lt;0), S260="", U260="")), 1104, 0)</f>
        <v>0</v>
      </c>
      <c r="B265" s="8"/>
      <c r="C265" s="15"/>
      <c r="D265" s="15">
        <v>20</v>
      </c>
      <c r="E265" s="533"/>
      <c r="F265" s="451" t="s">
        <v>155</v>
      </c>
      <c r="G265" s="452"/>
      <c r="H265" s="452"/>
      <c r="I265" s="453"/>
      <c r="J265" s="60" t="str">
        <f t="shared" si="1"/>
        <v/>
      </c>
      <c r="K265" s="467"/>
      <c r="L265" s="468"/>
      <c r="M265" s="69"/>
      <c r="N265" s="524"/>
      <c r="O265" s="525"/>
      <c r="P265" s="543"/>
      <c r="Q265" s="544"/>
      <c r="R265" s="545"/>
      <c r="S265" s="553"/>
      <c r="T265" s="552"/>
      <c r="U265" s="581"/>
      <c r="V265" s="579"/>
      <c r="W265" s="580"/>
      <c r="X265" s="17"/>
      <c r="Y265" s="42"/>
    </row>
    <row r="266" spans="1:25" s="33" customFormat="1" ht="20.100000000000001" customHeight="1">
      <c r="A266" s="8">
        <f>IF(AND(M266="あり", OR(OR(N266="", N266&lt;0), S260="", U260="")), 1104, 0)</f>
        <v>0</v>
      </c>
      <c r="B266" s="8"/>
      <c r="C266" s="15"/>
      <c r="D266" s="15">
        <v>21</v>
      </c>
      <c r="E266" s="533"/>
      <c r="F266" s="451" t="s">
        <v>110</v>
      </c>
      <c r="G266" s="452"/>
      <c r="H266" s="452"/>
      <c r="I266" s="453"/>
      <c r="J266" s="60" t="str">
        <f t="shared" si="1"/>
        <v/>
      </c>
      <c r="K266" s="467"/>
      <c r="L266" s="468"/>
      <c r="M266" s="69"/>
      <c r="N266" s="524"/>
      <c r="O266" s="525"/>
      <c r="P266" s="543"/>
      <c r="Q266" s="544"/>
      <c r="R266" s="545"/>
      <c r="S266" s="553"/>
      <c r="T266" s="552"/>
      <c r="U266" s="581"/>
      <c r="V266" s="579"/>
      <c r="W266" s="580"/>
      <c r="X266" s="17"/>
      <c r="Y266" s="42"/>
    </row>
    <row r="267" spans="1:25" s="33" customFormat="1" ht="20.100000000000001" customHeight="1">
      <c r="A267" s="8">
        <f>IF(AND(M267="あり", OR(OR(N267="", N267&lt;0), S260="", U260="")), 1104, 0)</f>
        <v>0</v>
      </c>
      <c r="B267" s="8"/>
      <c r="C267" s="15"/>
      <c r="D267" s="15">
        <v>22</v>
      </c>
      <c r="E267" s="533"/>
      <c r="F267" s="451" t="s">
        <v>111</v>
      </c>
      <c r="G267" s="452"/>
      <c r="H267" s="452"/>
      <c r="I267" s="453"/>
      <c r="J267" s="60" t="str">
        <f t="shared" si="1"/>
        <v/>
      </c>
      <c r="K267" s="467"/>
      <c r="L267" s="468"/>
      <c r="M267" s="69"/>
      <c r="N267" s="524"/>
      <c r="O267" s="525"/>
      <c r="P267" s="543"/>
      <c r="Q267" s="544"/>
      <c r="R267" s="545"/>
      <c r="S267" s="553"/>
      <c r="T267" s="552"/>
      <c r="U267" s="581"/>
      <c r="V267" s="579"/>
      <c r="W267" s="580"/>
      <c r="X267" s="17"/>
      <c r="Y267" s="42"/>
    </row>
    <row r="268" spans="1:25" s="33" customFormat="1" ht="20.100000000000001" customHeight="1">
      <c r="A268" s="8">
        <f>IF(AND(M268="あり", OR(OR(N268="", N268&lt;0), S260="", U260="")), 1104, 0)</f>
        <v>0</v>
      </c>
      <c r="B268" s="8"/>
      <c r="C268" s="15"/>
      <c r="D268" s="15">
        <v>23</v>
      </c>
      <c r="E268" s="533"/>
      <c r="F268" s="451" t="s">
        <v>112</v>
      </c>
      <c r="G268" s="452"/>
      <c r="H268" s="452"/>
      <c r="I268" s="453"/>
      <c r="J268" s="60" t="str">
        <f t="shared" si="1"/>
        <v/>
      </c>
      <c r="K268" s="467"/>
      <c r="L268" s="468"/>
      <c r="M268" s="69"/>
      <c r="N268" s="524"/>
      <c r="O268" s="525"/>
      <c r="P268" s="543"/>
      <c r="Q268" s="544"/>
      <c r="R268" s="545"/>
      <c r="S268" s="553"/>
      <c r="T268" s="552"/>
      <c r="U268" s="581"/>
      <c r="V268" s="579"/>
      <c r="W268" s="580"/>
      <c r="X268" s="17"/>
      <c r="Y268" s="42"/>
    </row>
    <row r="269" spans="1:25" s="33" customFormat="1" ht="20.100000000000001" customHeight="1">
      <c r="A269" s="8">
        <f>IF(AND(M269="あり", OR(OR(N269="", N269&lt;0), S260="", U260="")), 1104, 0)</f>
        <v>0</v>
      </c>
      <c r="B269" s="8"/>
      <c r="C269" s="15"/>
      <c r="D269" s="15">
        <v>24</v>
      </c>
      <c r="E269" s="533"/>
      <c r="F269" s="451" t="s">
        <v>113</v>
      </c>
      <c r="G269" s="452"/>
      <c r="H269" s="452"/>
      <c r="I269" s="453"/>
      <c r="J269" s="60" t="str">
        <f t="shared" si="1"/>
        <v/>
      </c>
      <c r="K269" s="467"/>
      <c r="L269" s="468"/>
      <c r="M269" s="69"/>
      <c r="N269" s="524"/>
      <c r="O269" s="525"/>
      <c r="P269" s="543"/>
      <c r="Q269" s="544"/>
      <c r="R269" s="545"/>
      <c r="S269" s="553"/>
      <c r="T269" s="552"/>
      <c r="U269" s="581"/>
      <c r="V269" s="579"/>
      <c r="W269" s="580"/>
      <c r="X269" s="17"/>
      <c r="Y269" s="42"/>
    </row>
    <row r="270" spans="1:25" s="33" customFormat="1" ht="20.100000000000001" customHeight="1">
      <c r="A270" s="8">
        <f>IF(AND(M270="あり", OR(OR(N270="", N270&lt;0), S260="", U260="")), 1104, 0)</f>
        <v>0</v>
      </c>
      <c r="B270" s="8"/>
      <c r="C270" s="15"/>
      <c r="D270" s="15">
        <v>25</v>
      </c>
      <c r="E270" s="533"/>
      <c r="F270" s="451" t="s">
        <v>156</v>
      </c>
      <c r="G270" s="452"/>
      <c r="H270" s="452"/>
      <c r="I270" s="453"/>
      <c r="J270" s="60" t="str">
        <f t="shared" si="1"/>
        <v/>
      </c>
      <c r="K270" s="467"/>
      <c r="L270" s="468"/>
      <c r="M270" s="69"/>
      <c r="N270" s="524"/>
      <c r="O270" s="525"/>
      <c r="P270" s="543"/>
      <c r="Q270" s="544"/>
      <c r="R270" s="545"/>
      <c r="S270" s="553"/>
      <c r="T270" s="552"/>
      <c r="U270" s="581"/>
      <c r="V270" s="579"/>
      <c r="W270" s="580"/>
      <c r="X270" s="17"/>
      <c r="Y270" s="42"/>
    </row>
    <row r="271" spans="1:25" s="33" customFormat="1" ht="20.100000000000001" customHeight="1">
      <c r="A271" s="8">
        <f>IF(AND(M271="あり", OR(OR(N271="", N271&lt;0), S260="", U260="")), 1104, 0)</f>
        <v>0</v>
      </c>
      <c r="B271" s="8"/>
      <c r="C271" s="15"/>
      <c r="D271" s="15">
        <v>26</v>
      </c>
      <c r="E271" s="533"/>
      <c r="F271" s="451" t="s">
        <v>114</v>
      </c>
      <c r="G271" s="452"/>
      <c r="H271" s="452"/>
      <c r="I271" s="453"/>
      <c r="J271" s="60" t="str">
        <f t="shared" si="1"/>
        <v/>
      </c>
      <c r="K271" s="467"/>
      <c r="L271" s="468"/>
      <c r="M271" s="69"/>
      <c r="N271" s="524"/>
      <c r="O271" s="525"/>
      <c r="P271" s="543"/>
      <c r="Q271" s="544"/>
      <c r="R271" s="545"/>
      <c r="S271" s="553"/>
      <c r="T271" s="552"/>
      <c r="U271" s="581"/>
      <c r="V271" s="579"/>
      <c r="W271" s="580"/>
      <c r="X271" s="17"/>
      <c r="Y271" s="42"/>
    </row>
    <row r="272" spans="1:25" s="33" customFormat="1" ht="20.100000000000001" customHeight="1">
      <c r="A272" s="8">
        <f>IF(AND(M272="あり", OR(OR(N272="", N272&lt;0), S260="", U260="")), 1104, 0)</f>
        <v>0</v>
      </c>
      <c r="B272" s="8"/>
      <c r="C272" s="15"/>
      <c r="D272" s="15">
        <v>27</v>
      </c>
      <c r="E272" s="533"/>
      <c r="F272" s="451" t="s">
        <v>157</v>
      </c>
      <c r="G272" s="452"/>
      <c r="H272" s="452"/>
      <c r="I272" s="453"/>
      <c r="J272" s="60" t="str">
        <f t="shared" si="1"/>
        <v/>
      </c>
      <c r="K272" s="467"/>
      <c r="L272" s="468"/>
      <c r="M272" s="69"/>
      <c r="N272" s="524"/>
      <c r="O272" s="525"/>
      <c r="P272" s="543"/>
      <c r="Q272" s="544"/>
      <c r="R272" s="545"/>
      <c r="S272" s="553"/>
      <c r="T272" s="552"/>
      <c r="U272" s="581"/>
      <c r="V272" s="579"/>
      <c r="W272" s="580"/>
      <c r="X272" s="17"/>
      <c r="Y272" s="42"/>
    </row>
    <row r="273" spans="1:25" s="33" customFormat="1" ht="20.100000000000001" customHeight="1">
      <c r="A273" s="8">
        <f>IF(AND(M273="あり", OR(OR(N273="", N273&lt;0), S260="", U260="")), 1104, 0)</f>
        <v>0</v>
      </c>
      <c r="B273" s="8"/>
      <c r="C273" s="15"/>
      <c r="D273" s="15">
        <v>28</v>
      </c>
      <c r="E273" s="533"/>
      <c r="F273" s="451" t="s">
        <v>115</v>
      </c>
      <c r="G273" s="452"/>
      <c r="H273" s="452"/>
      <c r="I273" s="453"/>
      <c r="J273" s="60" t="str">
        <f t="shared" si="1"/>
        <v/>
      </c>
      <c r="K273" s="467"/>
      <c r="L273" s="468"/>
      <c r="M273" s="69"/>
      <c r="N273" s="524"/>
      <c r="O273" s="525"/>
      <c r="P273" s="543"/>
      <c r="Q273" s="544"/>
      <c r="R273" s="545"/>
      <c r="S273" s="553"/>
      <c r="T273" s="552"/>
      <c r="U273" s="581"/>
      <c r="V273" s="579"/>
      <c r="W273" s="580"/>
      <c r="X273" s="17"/>
      <c r="Y273" s="42"/>
    </row>
    <row r="274" spans="1:25" s="33" customFormat="1" ht="20.100000000000001" customHeight="1">
      <c r="A274" s="8">
        <f>IF(AND(M274="あり", OR(OR(N274="", N274&lt;0), S260="", U260="")), 1104, 0)</f>
        <v>0</v>
      </c>
      <c r="B274" s="8"/>
      <c r="C274" s="15"/>
      <c r="D274" s="15">
        <v>29</v>
      </c>
      <c r="E274" s="533"/>
      <c r="F274" s="451" t="s">
        <v>158</v>
      </c>
      <c r="G274" s="452"/>
      <c r="H274" s="452"/>
      <c r="I274" s="453"/>
      <c r="J274" s="60" t="str">
        <f t="shared" si="1"/>
        <v/>
      </c>
      <c r="K274" s="467"/>
      <c r="L274" s="468"/>
      <c r="M274" s="69"/>
      <c r="N274" s="524"/>
      <c r="O274" s="525"/>
      <c r="P274" s="543"/>
      <c r="Q274" s="544"/>
      <c r="R274" s="545"/>
      <c r="S274" s="553"/>
      <c r="T274" s="552"/>
      <c r="U274" s="581"/>
      <c r="V274" s="579"/>
      <c r="W274" s="580"/>
      <c r="X274" s="17"/>
      <c r="Y274" s="42"/>
    </row>
    <row r="275" spans="1:25" s="33" customFormat="1" ht="20.100000000000001" customHeight="1">
      <c r="A275" s="8">
        <f>IF(AND(M275="あり", OR(OR(N275="", N275&lt;0), S260="", U260="")), 1104, 0)</f>
        <v>0</v>
      </c>
      <c r="B275" s="8"/>
      <c r="C275" s="15"/>
      <c r="D275" s="15">
        <v>30</v>
      </c>
      <c r="E275" s="533"/>
      <c r="F275" s="451" t="s">
        <v>159</v>
      </c>
      <c r="G275" s="452"/>
      <c r="H275" s="452"/>
      <c r="I275" s="453"/>
      <c r="J275" s="60" t="str">
        <f t="shared" si="1"/>
        <v/>
      </c>
      <c r="K275" s="467"/>
      <c r="L275" s="468"/>
      <c r="M275" s="69"/>
      <c r="N275" s="524"/>
      <c r="O275" s="525"/>
      <c r="P275" s="543"/>
      <c r="Q275" s="544"/>
      <c r="R275" s="545"/>
      <c r="S275" s="553"/>
      <c r="T275" s="552"/>
      <c r="U275" s="581"/>
      <c r="V275" s="579"/>
      <c r="W275" s="580"/>
      <c r="X275" s="17"/>
      <c r="Y275" s="42"/>
    </row>
    <row r="276" spans="1:25" s="33" customFormat="1" ht="20.100000000000001" customHeight="1">
      <c r="A276" s="8">
        <f>IF(AND(M276="あり", OR(OR(N276="", N276&lt;0), S260="", U260="")), 1104, 0)</f>
        <v>0</v>
      </c>
      <c r="B276" s="8"/>
      <c r="C276" s="15"/>
      <c r="D276" s="15">
        <v>31</v>
      </c>
      <c r="E276" s="533"/>
      <c r="F276" s="451" t="s">
        <v>116</v>
      </c>
      <c r="G276" s="452"/>
      <c r="H276" s="452"/>
      <c r="I276" s="453"/>
      <c r="J276" s="60" t="str">
        <f t="shared" si="1"/>
        <v/>
      </c>
      <c r="K276" s="467"/>
      <c r="L276" s="468"/>
      <c r="M276" s="69"/>
      <c r="N276" s="524"/>
      <c r="O276" s="525"/>
      <c r="P276" s="543"/>
      <c r="Q276" s="544"/>
      <c r="R276" s="545"/>
      <c r="S276" s="553"/>
      <c r="T276" s="552"/>
      <c r="U276" s="581"/>
      <c r="V276" s="579"/>
      <c r="W276" s="580"/>
      <c r="X276" s="17"/>
      <c r="Y276" s="42"/>
    </row>
    <row r="277" spans="1:25" s="33" customFormat="1" ht="20.100000000000001" customHeight="1">
      <c r="A277" s="8">
        <f>IF(AND(M277="あり", OR(OR(N277="", N277&lt;0), S260="", U260="")), 1104, 0)</f>
        <v>0</v>
      </c>
      <c r="B277" s="8"/>
      <c r="C277" s="15"/>
      <c r="D277" s="15">
        <v>32</v>
      </c>
      <c r="E277" s="533"/>
      <c r="F277" s="451" t="s">
        <v>160</v>
      </c>
      <c r="G277" s="452"/>
      <c r="H277" s="452"/>
      <c r="I277" s="453"/>
      <c r="J277" s="60" t="str">
        <f t="shared" si="1"/>
        <v/>
      </c>
      <c r="K277" s="467"/>
      <c r="L277" s="468"/>
      <c r="M277" s="69"/>
      <c r="N277" s="524"/>
      <c r="O277" s="525"/>
      <c r="P277" s="543"/>
      <c r="Q277" s="544"/>
      <c r="R277" s="545"/>
      <c r="S277" s="553"/>
      <c r="T277" s="552"/>
      <c r="U277" s="581"/>
      <c r="V277" s="579"/>
      <c r="W277" s="580"/>
      <c r="X277" s="17"/>
      <c r="Y277" s="42"/>
    </row>
    <row r="278" spans="1:25" s="33" customFormat="1" ht="20.100000000000001" customHeight="1">
      <c r="A278" s="8">
        <f>IF(AND(M278="あり", OR(OR(N278="", N278&lt;0), S260="", U260="")), 1104, 0)</f>
        <v>0</v>
      </c>
      <c r="B278" s="8"/>
      <c r="C278" s="15"/>
      <c r="D278" s="15">
        <v>33</v>
      </c>
      <c r="E278" s="533"/>
      <c r="F278" s="451" t="s">
        <v>117</v>
      </c>
      <c r="G278" s="452"/>
      <c r="H278" s="452"/>
      <c r="I278" s="453"/>
      <c r="J278" s="60" t="str">
        <f t="shared" si="1"/>
        <v/>
      </c>
      <c r="K278" s="467"/>
      <c r="L278" s="468"/>
      <c r="M278" s="69"/>
      <c r="N278" s="524"/>
      <c r="O278" s="525"/>
      <c r="P278" s="543"/>
      <c r="Q278" s="544"/>
      <c r="R278" s="545"/>
      <c r="S278" s="553"/>
      <c r="T278" s="552"/>
      <c r="U278" s="581"/>
      <c r="V278" s="579"/>
      <c r="W278" s="580"/>
      <c r="X278" s="17"/>
      <c r="Y278" s="42"/>
    </row>
    <row r="279" spans="1:25" s="33" customFormat="1" ht="20.100000000000001" customHeight="1">
      <c r="A279" s="8">
        <f>IF(AND(M279="あり", OR(OR(N279="", N279&lt;0), S260="", U260="")), 1104, 0)</f>
        <v>0</v>
      </c>
      <c r="B279" s="8"/>
      <c r="C279" s="15"/>
      <c r="D279" s="15">
        <v>34</v>
      </c>
      <c r="E279" s="533"/>
      <c r="F279" s="451" t="s">
        <v>161</v>
      </c>
      <c r="G279" s="452"/>
      <c r="H279" s="452"/>
      <c r="I279" s="453"/>
      <c r="J279" s="60" t="str">
        <f t="shared" si="1"/>
        <v/>
      </c>
      <c r="K279" s="467"/>
      <c r="L279" s="468"/>
      <c r="M279" s="69"/>
      <c r="N279" s="524"/>
      <c r="O279" s="525"/>
      <c r="P279" s="543"/>
      <c r="Q279" s="544"/>
      <c r="R279" s="545"/>
      <c r="S279" s="553"/>
      <c r="T279" s="552"/>
      <c r="U279" s="581"/>
      <c r="V279" s="579"/>
      <c r="W279" s="580"/>
      <c r="X279" s="17"/>
      <c r="Y279" s="42"/>
    </row>
    <row r="280" spans="1:25" s="33" customFormat="1" ht="20.100000000000001" customHeight="1">
      <c r="A280" s="8">
        <f>IF(AND(M280="あり", OR(OR(N280="", N280&lt;0), S260="", U260="")), 1104, 0)</f>
        <v>0</v>
      </c>
      <c r="B280" s="8"/>
      <c r="C280" s="15"/>
      <c r="D280" s="15">
        <v>35</v>
      </c>
      <c r="E280" s="534"/>
      <c r="F280" s="509" t="s">
        <v>162</v>
      </c>
      <c r="G280" s="537"/>
      <c r="H280" s="537"/>
      <c r="I280" s="510"/>
      <c r="J280" s="63" t="str">
        <f t="shared" si="1"/>
        <v/>
      </c>
      <c r="K280" s="558"/>
      <c r="L280" s="559"/>
      <c r="M280" s="70"/>
      <c r="N280" s="556"/>
      <c r="O280" s="557"/>
      <c r="P280" s="546"/>
      <c r="Q280" s="547"/>
      <c r="R280" s="548"/>
      <c r="S280" s="554"/>
      <c r="T280" s="555"/>
      <c r="U280" s="582"/>
      <c r="V280" s="583"/>
      <c r="W280" s="584"/>
      <c r="X280" s="17"/>
      <c r="Y280" s="42"/>
    </row>
    <row r="281" spans="1:25" s="33" customFormat="1" ht="20.100000000000001" customHeight="1">
      <c r="A281" s="8"/>
      <c r="B281" s="8"/>
      <c r="C281" s="15"/>
      <c r="D281" s="15">
        <v>36</v>
      </c>
      <c r="E281" s="526" t="s">
        <v>93</v>
      </c>
      <c r="F281" s="513" t="s">
        <v>118</v>
      </c>
      <c r="G281" s="529"/>
      <c r="H281" s="529"/>
      <c r="I281" s="514"/>
      <c r="J281" s="57" t="str">
        <f t="shared" ref="J281:J288" si="2">IF(K281="する","○", "")</f>
        <v/>
      </c>
      <c r="K281" s="465"/>
      <c r="L281" s="466"/>
      <c r="M281" s="71"/>
      <c r="N281" s="530"/>
      <c r="O281" s="531"/>
      <c r="P281" s="678"/>
      <c r="Q281" s="679"/>
      <c r="R281" s="680"/>
      <c r="S281" s="687"/>
      <c r="T281" s="688"/>
      <c r="U281" s="678"/>
      <c r="V281" s="679"/>
      <c r="W281" s="693"/>
      <c r="X281" s="17"/>
      <c r="Y281" s="42"/>
    </row>
    <row r="282" spans="1:25" s="33" customFormat="1" ht="20.100000000000001" customHeight="1">
      <c r="A282" s="8"/>
      <c r="B282" s="8"/>
      <c r="C282" s="15"/>
      <c r="D282" s="15">
        <v>37</v>
      </c>
      <c r="E282" s="527"/>
      <c r="F282" s="451" t="s">
        <v>119</v>
      </c>
      <c r="G282" s="452"/>
      <c r="H282" s="452"/>
      <c r="I282" s="453"/>
      <c r="J282" s="60" t="str">
        <f t="shared" si="2"/>
        <v/>
      </c>
      <c r="K282" s="467"/>
      <c r="L282" s="468"/>
      <c r="M282" s="72"/>
      <c r="N282" s="522"/>
      <c r="O282" s="523"/>
      <c r="P282" s="681"/>
      <c r="Q282" s="682"/>
      <c r="R282" s="683"/>
      <c r="S282" s="689"/>
      <c r="T282" s="690"/>
      <c r="U282" s="681"/>
      <c r="V282" s="682"/>
      <c r="W282" s="694"/>
      <c r="X282" s="17"/>
      <c r="Y282" s="42"/>
    </row>
    <row r="283" spans="1:25" s="33" customFormat="1" ht="20.100000000000001" customHeight="1">
      <c r="A283" s="8"/>
      <c r="B283" s="8"/>
      <c r="C283" s="15"/>
      <c r="D283" s="15">
        <v>38</v>
      </c>
      <c r="E283" s="527"/>
      <c r="F283" s="451" t="s">
        <v>120</v>
      </c>
      <c r="G283" s="452"/>
      <c r="H283" s="452"/>
      <c r="I283" s="453"/>
      <c r="J283" s="60" t="str">
        <f t="shared" si="2"/>
        <v/>
      </c>
      <c r="K283" s="467"/>
      <c r="L283" s="468"/>
      <c r="M283" s="72"/>
      <c r="N283" s="522"/>
      <c r="O283" s="523"/>
      <c r="P283" s="681"/>
      <c r="Q283" s="682"/>
      <c r="R283" s="683"/>
      <c r="S283" s="689"/>
      <c r="T283" s="690"/>
      <c r="U283" s="681"/>
      <c r="V283" s="682"/>
      <c r="W283" s="694"/>
      <c r="X283" s="17"/>
      <c r="Y283" s="42"/>
    </row>
    <row r="284" spans="1:25" s="33" customFormat="1" ht="20.100000000000001" customHeight="1">
      <c r="A284" s="8"/>
      <c r="B284" s="8"/>
      <c r="C284" s="15"/>
      <c r="D284" s="15">
        <v>39</v>
      </c>
      <c r="E284" s="527"/>
      <c r="F284" s="451" t="s">
        <v>163</v>
      </c>
      <c r="G284" s="452"/>
      <c r="H284" s="452"/>
      <c r="I284" s="453"/>
      <c r="J284" s="60" t="str">
        <f t="shared" si="2"/>
        <v/>
      </c>
      <c r="K284" s="467"/>
      <c r="L284" s="468"/>
      <c r="M284" s="72"/>
      <c r="N284" s="522"/>
      <c r="O284" s="523"/>
      <c r="P284" s="681"/>
      <c r="Q284" s="682"/>
      <c r="R284" s="683"/>
      <c r="S284" s="689"/>
      <c r="T284" s="690"/>
      <c r="U284" s="681"/>
      <c r="V284" s="682"/>
      <c r="W284" s="694"/>
      <c r="X284" s="17"/>
      <c r="Y284" s="42"/>
    </row>
    <row r="285" spans="1:25" s="33" customFormat="1" ht="20.100000000000001" customHeight="1">
      <c r="A285" s="8"/>
      <c r="B285" s="8"/>
      <c r="C285" s="15"/>
      <c r="D285" s="15">
        <v>40</v>
      </c>
      <c r="E285" s="527"/>
      <c r="F285" s="451" t="s">
        <v>121</v>
      </c>
      <c r="G285" s="452"/>
      <c r="H285" s="452"/>
      <c r="I285" s="453"/>
      <c r="J285" s="60" t="str">
        <f t="shared" si="2"/>
        <v/>
      </c>
      <c r="K285" s="467"/>
      <c r="L285" s="468"/>
      <c r="M285" s="72"/>
      <c r="N285" s="522"/>
      <c r="O285" s="523"/>
      <c r="P285" s="681"/>
      <c r="Q285" s="682"/>
      <c r="R285" s="683"/>
      <c r="S285" s="689"/>
      <c r="T285" s="690"/>
      <c r="U285" s="681"/>
      <c r="V285" s="682"/>
      <c r="W285" s="694"/>
      <c r="X285" s="17"/>
      <c r="Y285" s="42"/>
    </row>
    <row r="286" spans="1:25" s="33" customFormat="1" ht="20.100000000000001" customHeight="1">
      <c r="A286" s="8"/>
      <c r="B286" s="8"/>
      <c r="C286" s="15"/>
      <c r="D286" s="15">
        <v>41</v>
      </c>
      <c r="E286" s="527"/>
      <c r="F286" s="451" t="s">
        <v>122</v>
      </c>
      <c r="G286" s="452"/>
      <c r="H286" s="452"/>
      <c r="I286" s="453"/>
      <c r="J286" s="60" t="str">
        <f t="shared" si="2"/>
        <v/>
      </c>
      <c r="K286" s="467"/>
      <c r="L286" s="468"/>
      <c r="M286" s="72"/>
      <c r="N286" s="522"/>
      <c r="O286" s="523"/>
      <c r="P286" s="681"/>
      <c r="Q286" s="682"/>
      <c r="R286" s="683"/>
      <c r="S286" s="689"/>
      <c r="T286" s="690"/>
      <c r="U286" s="681"/>
      <c r="V286" s="682"/>
      <c r="W286" s="694"/>
      <c r="X286" s="17"/>
      <c r="Y286" s="42"/>
    </row>
    <row r="287" spans="1:25" s="33" customFormat="1" ht="20.100000000000001" customHeight="1">
      <c r="A287" s="8"/>
      <c r="B287" s="8"/>
      <c r="C287" s="15"/>
      <c r="D287" s="15">
        <v>42</v>
      </c>
      <c r="E287" s="527"/>
      <c r="F287" s="451" t="s">
        <v>164</v>
      </c>
      <c r="G287" s="452"/>
      <c r="H287" s="452"/>
      <c r="I287" s="453"/>
      <c r="J287" s="60" t="str">
        <f t="shared" si="2"/>
        <v/>
      </c>
      <c r="K287" s="467"/>
      <c r="L287" s="468"/>
      <c r="M287" s="72"/>
      <c r="N287" s="522"/>
      <c r="O287" s="523"/>
      <c r="P287" s="681"/>
      <c r="Q287" s="682"/>
      <c r="R287" s="683"/>
      <c r="S287" s="689"/>
      <c r="T287" s="690"/>
      <c r="U287" s="681"/>
      <c r="V287" s="682"/>
      <c r="W287" s="694"/>
      <c r="X287" s="17"/>
      <c r="Y287" s="42"/>
    </row>
    <row r="288" spans="1:25" s="33" customFormat="1" ht="20.100000000000001" customHeight="1">
      <c r="A288" s="8"/>
      <c r="B288" s="8"/>
      <c r="C288" s="15"/>
      <c r="D288" s="15">
        <v>43</v>
      </c>
      <c r="E288" s="527"/>
      <c r="F288" s="451" t="s">
        <v>123</v>
      </c>
      <c r="G288" s="452"/>
      <c r="H288" s="452"/>
      <c r="I288" s="453"/>
      <c r="J288" s="60" t="str">
        <f t="shared" si="2"/>
        <v/>
      </c>
      <c r="K288" s="467"/>
      <c r="L288" s="468"/>
      <c r="M288" s="72"/>
      <c r="N288" s="522"/>
      <c r="O288" s="523"/>
      <c r="P288" s="681"/>
      <c r="Q288" s="682"/>
      <c r="R288" s="683"/>
      <c r="S288" s="689"/>
      <c r="T288" s="690"/>
      <c r="U288" s="681"/>
      <c r="V288" s="682"/>
      <c r="W288" s="694"/>
      <c r="X288" s="17"/>
      <c r="Y288" s="42"/>
    </row>
    <row r="289" spans="1:25" s="33" customFormat="1" ht="20.100000000000001" customHeight="1">
      <c r="A289" s="8"/>
      <c r="B289" s="8"/>
      <c r="C289" s="15"/>
      <c r="D289" s="15">
        <v>44</v>
      </c>
      <c r="E289" s="528"/>
      <c r="F289" s="509" t="s">
        <v>124</v>
      </c>
      <c r="G289" s="537"/>
      <c r="H289" s="537"/>
      <c r="I289" s="510"/>
      <c r="J289" s="63" t="str">
        <f>IF(K289="する","○", "")</f>
        <v/>
      </c>
      <c r="K289" s="558"/>
      <c r="L289" s="559"/>
      <c r="M289" s="73"/>
      <c r="N289" s="538"/>
      <c r="O289" s="539"/>
      <c r="P289" s="684"/>
      <c r="Q289" s="685"/>
      <c r="R289" s="686"/>
      <c r="S289" s="691"/>
      <c r="T289" s="692"/>
      <c r="U289" s="695"/>
      <c r="V289" s="685"/>
      <c r="W289" s="696"/>
      <c r="X289" s="17"/>
      <c r="Y289" s="42"/>
    </row>
    <row r="290" spans="1:25" s="33" customFormat="1" ht="20.100000000000001" customHeight="1">
      <c r="A290" s="8"/>
      <c r="B290" s="8"/>
      <c r="C290" s="15"/>
      <c r="D290" s="76">
        <v>45</v>
      </c>
      <c r="E290" s="517" t="s">
        <v>134</v>
      </c>
      <c r="F290" s="708" t="s">
        <v>115</v>
      </c>
      <c r="G290" s="709"/>
      <c r="H290" s="709"/>
      <c r="I290" s="710"/>
      <c r="J290" s="57" t="str">
        <f>IF(K290="する",IF(AND(TRIM($S$290)&lt;&gt;"", TRIM($U$290)&lt;&gt;""), "●", "○"),"")</f>
        <v/>
      </c>
      <c r="K290" s="611"/>
      <c r="L290" s="612"/>
      <c r="M290" s="110"/>
      <c r="N290" s="697"/>
      <c r="O290" s="610"/>
      <c r="P290" s="698" t="s">
        <v>139</v>
      </c>
      <c r="Q290" s="699"/>
      <c r="R290" s="700"/>
      <c r="S290" s="704"/>
      <c r="T290" s="705"/>
      <c r="U290" s="575"/>
      <c r="V290" s="601"/>
      <c r="W290" s="602"/>
      <c r="X290" s="17"/>
      <c r="Y290" s="42"/>
    </row>
    <row r="291" spans="1:25" s="33" customFormat="1" ht="20.100000000000001" customHeight="1">
      <c r="A291" s="8"/>
      <c r="B291" s="8"/>
      <c r="C291" s="15"/>
      <c r="D291" s="77">
        <v>46</v>
      </c>
      <c r="E291" s="518"/>
      <c r="F291" s="711" t="s">
        <v>165</v>
      </c>
      <c r="G291" s="712"/>
      <c r="H291" s="712"/>
      <c r="I291" s="713"/>
      <c r="J291" s="63" t="str">
        <f>IF(K291="する",IF(AND(TRIM($S$290)&lt;&gt;"", TRIM($U$290)&lt;&gt;""), "●", "○"),"")</f>
        <v/>
      </c>
      <c r="K291" s="463"/>
      <c r="L291" s="464"/>
      <c r="M291" s="109"/>
      <c r="N291" s="587"/>
      <c r="O291" s="588"/>
      <c r="P291" s="701"/>
      <c r="Q291" s="702"/>
      <c r="R291" s="703"/>
      <c r="S291" s="706"/>
      <c r="T291" s="707"/>
      <c r="U291" s="605"/>
      <c r="V291" s="606"/>
      <c r="W291" s="607"/>
      <c r="X291" s="17"/>
      <c r="Y291" s="55"/>
    </row>
    <row r="292" spans="1:25" s="33" customFormat="1" ht="20.100000000000001" customHeight="1">
      <c r="A292" s="8">
        <f>IF(AND(M292="あり", OR(OR(N292="", N292&lt;0), S292="", U292="")), 1104, 0)</f>
        <v>0</v>
      </c>
      <c r="B292" s="8"/>
      <c r="C292" s="11"/>
      <c r="D292" s="39">
        <v>47</v>
      </c>
      <c r="E292" s="714" t="s">
        <v>425</v>
      </c>
      <c r="F292" s="474" t="s">
        <v>125</v>
      </c>
      <c r="G292" s="459"/>
      <c r="H292" s="459"/>
      <c r="I292" s="460"/>
      <c r="J292" s="57" t="str">
        <f t="shared" ref="J292:J299" si="3">IF(K292="する",IF(AND($M292="あり",TRIM($S$292)&lt;&gt;"", TRIM($U$292)&lt;&gt;""), "●", "○"),"")</f>
        <v/>
      </c>
      <c r="K292" s="611"/>
      <c r="L292" s="612"/>
      <c r="M292" s="58"/>
      <c r="N292" s="717"/>
      <c r="O292" s="718"/>
      <c r="P292" s="698" t="s">
        <v>140</v>
      </c>
      <c r="Q292" s="699"/>
      <c r="R292" s="700"/>
      <c r="S292" s="704"/>
      <c r="T292" s="722"/>
      <c r="U292" s="575"/>
      <c r="V292" s="727"/>
      <c r="W292" s="728"/>
      <c r="X292" s="32"/>
    </row>
    <row r="293" spans="1:25" s="33" customFormat="1" ht="20.100000000000001" customHeight="1">
      <c r="A293" s="8">
        <f>IF(AND(M293="あり", OR(OR(N293="", N293&lt;0), S292="", U292="")), 1104, 0)</f>
        <v>0</v>
      </c>
      <c r="B293" s="8"/>
      <c r="C293" s="15"/>
      <c r="D293" s="15">
        <v>48</v>
      </c>
      <c r="E293" s="715"/>
      <c r="F293" s="448" t="s">
        <v>126</v>
      </c>
      <c r="G293" s="449"/>
      <c r="H293" s="449"/>
      <c r="I293" s="450"/>
      <c r="J293" s="60" t="str">
        <f t="shared" si="3"/>
        <v/>
      </c>
      <c r="K293" s="461"/>
      <c r="L293" s="462"/>
      <c r="M293" s="61"/>
      <c r="N293" s="733"/>
      <c r="O293" s="734"/>
      <c r="P293" s="719"/>
      <c r="Q293" s="720"/>
      <c r="R293" s="721"/>
      <c r="S293" s="723"/>
      <c r="T293" s="724"/>
      <c r="U293" s="578"/>
      <c r="V293" s="729"/>
      <c r="W293" s="730"/>
      <c r="X293" s="17"/>
      <c r="Y293" s="42"/>
    </row>
    <row r="294" spans="1:25" s="33" customFormat="1" ht="20.100000000000001" customHeight="1">
      <c r="A294" s="8">
        <f>IF(AND(M294="あり", OR(OR(N294="", N294&lt;0), S292="", U292="")), 1104, 0)</f>
        <v>0</v>
      </c>
      <c r="B294" s="8"/>
      <c r="C294" s="15"/>
      <c r="D294" s="15">
        <v>49</v>
      </c>
      <c r="E294" s="715"/>
      <c r="F294" s="448" t="s">
        <v>127</v>
      </c>
      <c r="G294" s="449"/>
      <c r="H294" s="449"/>
      <c r="I294" s="450"/>
      <c r="J294" s="60" t="str">
        <f t="shared" si="3"/>
        <v/>
      </c>
      <c r="K294" s="461"/>
      <c r="L294" s="462"/>
      <c r="M294" s="61"/>
      <c r="N294" s="733"/>
      <c r="O294" s="734"/>
      <c r="P294" s="719"/>
      <c r="Q294" s="720"/>
      <c r="R294" s="721"/>
      <c r="S294" s="725"/>
      <c r="T294" s="724"/>
      <c r="U294" s="725"/>
      <c r="V294" s="729"/>
      <c r="W294" s="730"/>
      <c r="X294" s="17"/>
      <c r="Y294" s="42"/>
    </row>
    <row r="295" spans="1:25" s="33" customFormat="1" ht="20.100000000000001" customHeight="1">
      <c r="A295" s="8">
        <f>IF(AND(M295="あり", OR(OR(N295="", N295&lt;0), S292="", U292="")), 1104, 0)</f>
        <v>0</v>
      </c>
      <c r="B295" s="8"/>
      <c r="C295" s="15"/>
      <c r="D295" s="15">
        <v>50</v>
      </c>
      <c r="E295" s="715"/>
      <c r="F295" s="448" t="s">
        <v>128</v>
      </c>
      <c r="G295" s="449"/>
      <c r="H295" s="449"/>
      <c r="I295" s="450"/>
      <c r="J295" s="60" t="str">
        <f t="shared" si="3"/>
        <v/>
      </c>
      <c r="K295" s="461"/>
      <c r="L295" s="462"/>
      <c r="M295" s="61"/>
      <c r="N295" s="733"/>
      <c r="O295" s="734"/>
      <c r="P295" s="719"/>
      <c r="Q295" s="720"/>
      <c r="R295" s="721"/>
      <c r="S295" s="725"/>
      <c r="T295" s="724"/>
      <c r="U295" s="725"/>
      <c r="V295" s="729"/>
      <c r="W295" s="730"/>
      <c r="X295" s="17"/>
      <c r="Y295" s="42"/>
    </row>
    <row r="296" spans="1:25" s="33" customFormat="1" ht="20.100000000000001" customHeight="1">
      <c r="A296" s="8">
        <f>IF(AND(M296="あり", OR(OR(N296="", N296&lt;0), S292="", U292="")), 1104, 0)</f>
        <v>0</v>
      </c>
      <c r="B296" s="8"/>
      <c r="C296" s="15"/>
      <c r="D296" s="15">
        <v>51</v>
      </c>
      <c r="E296" s="715"/>
      <c r="F296" s="448" t="s">
        <v>166</v>
      </c>
      <c r="G296" s="449"/>
      <c r="H296" s="449"/>
      <c r="I296" s="450"/>
      <c r="J296" s="60" t="str">
        <f t="shared" si="3"/>
        <v/>
      </c>
      <c r="K296" s="461"/>
      <c r="L296" s="462"/>
      <c r="M296" s="61"/>
      <c r="N296" s="733"/>
      <c r="O296" s="734"/>
      <c r="P296" s="719"/>
      <c r="Q296" s="720"/>
      <c r="R296" s="721"/>
      <c r="S296" s="725"/>
      <c r="T296" s="724"/>
      <c r="U296" s="725"/>
      <c r="V296" s="729"/>
      <c r="W296" s="730"/>
      <c r="X296" s="17"/>
      <c r="Y296" s="42"/>
    </row>
    <row r="297" spans="1:25" s="33" customFormat="1" ht="20.100000000000001" customHeight="1">
      <c r="A297" s="8">
        <f>IF(AND(M297="あり", OR(OR(N297="", N297&lt;0), S292="", U292="")), 1104, 0)</f>
        <v>0</v>
      </c>
      <c r="B297" s="8"/>
      <c r="C297" s="15"/>
      <c r="D297" s="15">
        <v>52</v>
      </c>
      <c r="E297" s="715"/>
      <c r="F297" s="448" t="s">
        <v>129</v>
      </c>
      <c r="G297" s="449"/>
      <c r="H297" s="449"/>
      <c r="I297" s="450"/>
      <c r="J297" s="60" t="str">
        <f t="shared" si="3"/>
        <v/>
      </c>
      <c r="K297" s="461"/>
      <c r="L297" s="462"/>
      <c r="M297" s="61"/>
      <c r="N297" s="733"/>
      <c r="O297" s="734"/>
      <c r="P297" s="719"/>
      <c r="Q297" s="720"/>
      <c r="R297" s="721"/>
      <c r="S297" s="725"/>
      <c r="T297" s="724"/>
      <c r="U297" s="725"/>
      <c r="V297" s="729"/>
      <c r="W297" s="730"/>
      <c r="X297" s="17"/>
      <c r="Y297" s="42"/>
    </row>
    <row r="298" spans="1:25" s="33" customFormat="1" ht="20.100000000000001" customHeight="1">
      <c r="A298" s="8">
        <f>IF(AND(M298="あり", OR(OR(N298="", N298&lt;0), S292="", U292="")), 1104, 0)</f>
        <v>0</v>
      </c>
      <c r="B298" s="8"/>
      <c r="C298" s="15"/>
      <c r="D298" s="15">
        <v>53</v>
      </c>
      <c r="E298" s="715"/>
      <c r="F298" s="448" t="s">
        <v>130</v>
      </c>
      <c r="G298" s="449"/>
      <c r="H298" s="449"/>
      <c r="I298" s="450"/>
      <c r="J298" s="60" t="str">
        <f t="shared" si="3"/>
        <v/>
      </c>
      <c r="K298" s="461"/>
      <c r="L298" s="462"/>
      <c r="M298" s="61"/>
      <c r="N298" s="733"/>
      <c r="O298" s="734"/>
      <c r="P298" s="719"/>
      <c r="Q298" s="720"/>
      <c r="R298" s="721"/>
      <c r="S298" s="723"/>
      <c r="T298" s="724"/>
      <c r="U298" s="578"/>
      <c r="V298" s="729"/>
      <c r="W298" s="730"/>
      <c r="X298" s="17"/>
      <c r="Y298" s="42"/>
    </row>
    <row r="299" spans="1:25" s="33" customFormat="1" ht="20.100000000000001" customHeight="1">
      <c r="A299" s="8">
        <f>IF(AND(M299="あり", OR(OR(N299="", N299&lt;0), S292="", U292="")), 1104, 0)</f>
        <v>0</v>
      </c>
      <c r="B299" s="8"/>
      <c r="C299" s="15"/>
      <c r="D299" s="15">
        <v>54</v>
      </c>
      <c r="E299" s="715"/>
      <c r="F299" s="454" t="s">
        <v>167</v>
      </c>
      <c r="G299" s="455"/>
      <c r="H299" s="455"/>
      <c r="I299" s="456"/>
      <c r="J299" s="63" t="str">
        <f t="shared" si="3"/>
        <v/>
      </c>
      <c r="K299" s="463"/>
      <c r="L299" s="464"/>
      <c r="M299" s="64"/>
      <c r="N299" s="747"/>
      <c r="O299" s="748"/>
      <c r="P299" s="701"/>
      <c r="Q299" s="702"/>
      <c r="R299" s="703"/>
      <c r="S299" s="706"/>
      <c r="T299" s="726"/>
      <c r="U299" s="605"/>
      <c r="V299" s="731"/>
      <c r="W299" s="732"/>
      <c r="X299" s="17"/>
      <c r="Y299" s="42"/>
    </row>
    <row r="300" spans="1:25" s="33" customFormat="1" ht="20.100000000000001" customHeight="1">
      <c r="A300" s="8">
        <f>IF(AND(K300="する",  OR(S300="", U300="")), 1104,0)</f>
        <v>0</v>
      </c>
      <c r="B300" s="8"/>
      <c r="C300" s="15"/>
      <c r="D300" s="15">
        <v>55</v>
      </c>
      <c r="E300" s="715"/>
      <c r="F300" s="735" t="s">
        <v>423</v>
      </c>
      <c r="G300" s="511"/>
      <c r="H300" s="511"/>
      <c r="I300" s="512"/>
      <c r="J300" s="74" t="str">
        <f>IF(K300="する",IF(AND(TRIM($S300)&lt;&gt;"", TRIM($U300)&lt;&gt;""), "●", "○"),"")</f>
        <v/>
      </c>
      <c r="K300" s="736"/>
      <c r="L300" s="737"/>
      <c r="M300" s="75"/>
      <c r="N300" s="749"/>
      <c r="O300" s="750"/>
      <c r="P300" s="469" t="s">
        <v>141</v>
      </c>
      <c r="Q300" s="751"/>
      <c r="R300" s="470"/>
      <c r="S300" s="752"/>
      <c r="T300" s="753"/>
      <c r="U300" s="754"/>
      <c r="V300" s="755"/>
      <c r="W300" s="756"/>
      <c r="X300" s="17"/>
      <c r="Y300" s="42"/>
    </row>
    <row r="301" spans="1:25" s="33" customFormat="1" ht="20.100000000000001" customHeight="1">
      <c r="A301" s="8"/>
      <c r="B301" s="8"/>
      <c r="C301" s="15"/>
      <c r="D301" s="40">
        <v>56</v>
      </c>
      <c r="E301" s="716"/>
      <c r="F301" s="758" t="s">
        <v>168</v>
      </c>
      <c r="G301" s="759"/>
      <c r="H301" s="759"/>
      <c r="I301" s="760"/>
      <c r="J301" s="74" t="str">
        <f>IF(K301="する","○", "")</f>
        <v/>
      </c>
      <c r="K301" s="736"/>
      <c r="L301" s="737"/>
      <c r="M301" s="419"/>
      <c r="N301" s="757"/>
      <c r="O301" s="750"/>
      <c r="P301" s="739"/>
      <c r="Q301" s="740"/>
      <c r="R301" s="741"/>
      <c r="S301" s="742"/>
      <c r="T301" s="743"/>
      <c r="U301" s="744"/>
      <c r="V301" s="745"/>
      <c r="W301" s="746"/>
      <c r="X301" s="17"/>
      <c r="Y301" s="42"/>
    </row>
    <row r="302" spans="1:25" s="33" customFormat="1" ht="3" customHeight="1">
      <c r="A302" s="8"/>
      <c r="B302" s="8"/>
      <c r="C302" s="15"/>
      <c r="D302" s="16"/>
      <c r="E302" s="80"/>
      <c r="F302" s="80"/>
      <c r="G302" s="80"/>
      <c r="H302" s="80"/>
      <c r="I302" s="96"/>
      <c r="J302" s="29"/>
      <c r="K302" s="30"/>
      <c r="L302" s="30"/>
      <c r="M302" s="30"/>
      <c r="N302" s="31"/>
      <c r="O302" s="97"/>
      <c r="P302" s="31"/>
      <c r="Q302" s="31"/>
      <c r="R302" s="78"/>
      <c r="S302" s="89"/>
      <c r="T302" s="78"/>
      <c r="U302" s="108"/>
      <c r="V302" s="78"/>
      <c r="W302" s="78"/>
      <c r="X302" s="17"/>
    </row>
    <row r="303" spans="1:25" s="33" customFormat="1" ht="15" customHeight="1">
      <c r="A303" s="8"/>
      <c r="B303" s="8"/>
      <c r="C303" s="15"/>
      <c r="D303" s="48" t="s">
        <v>87</v>
      </c>
      <c r="E303" s="473" t="s">
        <v>406</v>
      </c>
      <c r="F303" s="473"/>
      <c r="G303" s="473"/>
      <c r="H303" s="473"/>
      <c r="I303" s="473"/>
      <c r="J303" s="473"/>
      <c r="K303" s="473"/>
      <c r="L303" s="473"/>
      <c r="M303" s="473"/>
      <c r="N303" s="473"/>
      <c r="O303" s="473"/>
      <c r="P303" s="473"/>
      <c r="Q303" s="473"/>
      <c r="R303" s="473"/>
      <c r="S303" s="473"/>
      <c r="T303" s="473"/>
      <c r="U303" s="473"/>
      <c r="V303" s="473"/>
      <c r="W303" s="473"/>
      <c r="X303" s="17"/>
    </row>
    <row r="304" spans="1:25" s="33" customFormat="1" ht="15" customHeight="1">
      <c r="A304" s="8"/>
      <c r="B304" s="8"/>
      <c r="C304" s="11"/>
      <c r="D304" s="48" t="s">
        <v>399</v>
      </c>
      <c r="E304" s="473" t="s">
        <v>432</v>
      </c>
      <c r="F304" s="473"/>
      <c r="G304" s="473"/>
      <c r="H304" s="473"/>
      <c r="I304" s="473"/>
      <c r="J304" s="473"/>
      <c r="K304" s="473"/>
      <c r="L304" s="473"/>
      <c r="M304" s="473"/>
      <c r="N304" s="473"/>
      <c r="O304" s="473"/>
      <c r="P304" s="473"/>
      <c r="Q304" s="473"/>
      <c r="R304" s="473"/>
      <c r="S304" s="473"/>
      <c r="T304" s="473"/>
      <c r="U304" s="473"/>
      <c r="V304" s="473"/>
      <c r="W304" s="473"/>
      <c r="X304" s="17"/>
    </row>
    <row r="305" spans="1:24" s="33" customFormat="1" ht="15" customHeight="1">
      <c r="A305" s="8"/>
      <c r="B305" s="8"/>
      <c r="C305" s="11"/>
      <c r="D305" s="48" t="s">
        <v>424</v>
      </c>
      <c r="E305" s="473" t="s">
        <v>427</v>
      </c>
      <c r="F305" s="473"/>
      <c r="G305" s="473"/>
      <c r="H305" s="473"/>
      <c r="I305" s="473"/>
      <c r="J305" s="473"/>
      <c r="K305" s="473"/>
      <c r="L305" s="473"/>
      <c r="M305" s="473"/>
      <c r="N305" s="473"/>
      <c r="O305" s="473"/>
      <c r="P305" s="473"/>
      <c r="Q305" s="473"/>
      <c r="R305" s="473"/>
      <c r="S305" s="473"/>
      <c r="T305" s="473"/>
      <c r="U305" s="473"/>
      <c r="V305" s="473"/>
      <c r="W305" s="473"/>
      <c r="X305" s="17"/>
    </row>
    <row r="306" spans="1:24" s="33" customFormat="1" ht="5.0999999999999996" customHeight="1">
      <c r="A306" s="8"/>
      <c r="B306" s="8"/>
      <c r="C306" s="24"/>
      <c r="D306" s="25"/>
      <c r="E306" s="25"/>
      <c r="F306" s="25"/>
      <c r="G306" s="25"/>
      <c r="H306" s="25"/>
      <c r="I306" s="738"/>
      <c r="J306" s="738"/>
      <c r="K306" s="738"/>
      <c r="L306" s="738"/>
      <c r="M306" s="738"/>
      <c r="N306" s="738"/>
      <c r="O306" s="738"/>
      <c r="P306" s="45"/>
      <c r="Q306" s="45"/>
      <c r="R306" s="45"/>
      <c r="S306" s="53"/>
      <c r="T306" s="45"/>
      <c r="U306" s="54"/>
      <c r="V306" s="45"/>
      <c r="W306" s="45"/>
      <c r="X306" s="26"/>
    </row>
    <row r="307" spans="1:24" s="33" customFormat="1" ht="9.9499999999999993" customHeight="1">
      <c r="A307" s="8"/>
      <c r="B307" s="8"/>
      <c r="C307" s="42"/>
      <c r="D307" s="42"/>
      <c r="E307" s="42"/>
      <c r="F307" s="42"/>
      <c r="G307" s="42"/>
      <c r="H307" s="42"/>
      <c r="I307" s="42"/>
      <c r="J307" s="43"/>
      <c r="K307" s="43"/>
      <c r="L307" s="78"/>
      <c r="M307" s="43"/>
      <c r="N307" s="43"/>
      <c r="O307" s="43"/>
      <c r="P307" s="43"/>
      <c r="Q307" s="43"/>
      <c r="R307" s="43"/>
      <c r="S307" s="43"/>
      <c r="T307" s="43"/>
      <c r="U307" s="43"/>
      <c r="V307" s="43"/>
      <c r="W307" s="43"/>
      <c r="X307" s="42"/>
    </row>
  </sheetData>
  <sheetProtection password="EF3D" sheet="1" objects="1" scenarios="1"/>
  <dataConsolidate/>
  <mergeCells count="851">
    <mergeCell ref="E139:W139"/>
    <mergeCell ref="E117:H117"/>
    <mergeCell ref="I117:M117"/>
    <mergeCell ref="N117:W117"/>
    <mergeCell ref="E118:H118"/>
    <mergeCell ref="J118:W118"/>
    <mergeCell ref="V1:W1"/>
    <mergeCell ref="C8:H8"/>
    <mergeCell ref="E9:H9"/>
    <mergeCell ref="E10:H10"/>
    <mergeCell ref="I10:M10"/>
    <mergeCell ref="N10:W10"/>
    <mergeCell ref="N40:W40"/>
    <mergeCell ref="N38:W38"/>
    <mergeCell ref="E14:H14"/>
    <mergeCell ref="I14:M14"/>
    <mergeCell ref="N14:W14"/>
    <mergeCell ref="E15:H15"/>
    <mergeCell ref="J15:W15"/>
    <mergeCell ref="E16:H16"/>
    <mergeCell ref="I16:M16"/>
    <mergeCell ref="N16:W16"/>
    <mergeCell ref="E11:H11"/>
    <mergeCell ref="J11:W11"/>
    <mergeCell ref="E12:H12"/>
    <mergeCell ref="I12:M12"/>
    <mergeCell ref="N12:W12"/>
    <mergeCell ref="E13:H13"/>
    <mergeCell ref="J13:W13"/>
    <mergeCell ref="E23:H23"/>
    <mergeCell ref="J23:W23"/>
    <mergeCell ref="E24:H24"/>
    <mergeCell ref="I24:M24"/>
    <mergeCell ref="N24:W24"/>
    <mergeCell ref="E25:H25"/>
    <mergeCell ref="J25:W25"/>
    <mergeCell ref="E17:H17"/>
    <mergeCell ref="J17:W17"/>
    <mergeCell ref="E18:H18"/>
    <mergeCell ref="C20:H20"/>
    <mergeCell ref="E21:H21"/>
    <mergeCell ref="E22:H22"/>
    <mergeCell ref="I22:M22"/>
    <mergeCell ref="N22:W22"/>
    <mergeCell ref="E29:H29"/>
    <mergeCell ref="J29:W29"/>
    <mergeCell ref="E30:H30"/>
    <mergeCell ref="I30:W30"/>
    <mergeCell ref="E31:H31"/>
    <mergeCell ref="J31:W31"/>
    <mergeCell ref="E26:H26"/>
    <mergeCell ref="E27:H27"/>
    <mergeCell ref="J27:W27"/>
    <mergeCell ref="E28:H28"/>
    <mergeCell ref="I28:W28"/>
    <mergeCell ref="I26:W26"/>
    <mergeCell ref="E35:H35"/>
    <mergeCell ref="J35:W35"/>
    <mergeCell ref="E36:H36"/>
    <mergeCell ref="I36:W36"/>
    <mergeCell ref="E37:H37"/>
    <mergeCell ref="J37:W37"/>
    <mergeCell ref="E32:H32"/>
    <mergeCell ref="I32:W32"/>
    <mergeCell ref="E33:H33"/>
    <mergeCell ref="J33:W33"/>
    <mergeCell ref="E34:H34"/>
    <mergeCell ref="I34:W34"/>
    <mergeCell ref="E50:H50"/>
    <mergeCell ref="C53:H53"/>
    <mergeCell ref="I38:M38"/>
    <mergeCell ref="I40:M40"/>
    <mergeCell ref="E42:H42"/>
    <mergeCell ref="I42:M42"/>
    <mergeCell ref="N42:W42"/>
    <mergeCell ref="E43:H43"/>
    <mergeCell ref="J43:W43"/>
    <mergeCell ref="I44:M44"/>
    <mergeCell ref="N44:W44"/>
    <mergeCell ref="E45:H45"/>
    <mergeCell ref="J45:W45"/>
    <mergeCell ref="E46:H46"/>
    <mergeCell ref="I46:M46"/>
    <mergeCell ref="N46:W46"/>
    <mergeCell ref="E47:H47"/>
    <mergeCell ref="J47:W47"/>
    <mergeCell ref="E48:H48"/>
    <mergeCell ref="J39:W39"/>
    <mergeCell ref="J41:W41"/>
    <mergeCell ref="E57:H57"/>
    <mergeCell ref="I57:M57"/>
    <mergeCell ref="N57:W57"/>
    <mergeCell ref="E58:H58"/>
    <mergeCell ref="J58:W58"/>
    <mergeCell ref="E59:H59"/>
    <mergeCell ref="E54:H54"/>
    <mergeCell ref="E55:H55"/>
    <mergeCell ref="I55:M55"/>
    <mergeCell ref="N55:W55"/>
    <mergeCell ref="E56:H56"/>
    <mergeCell ref="J56:W56"/>
    <mergeCell ref="I59:W59"/>
    <mergeCell ref="E63:H63"/>
    <mergeCell ref="I63:W63"/>
    <mergeCell ref="E64:H64"/>
    <mergeCell ref="J64:W64"/>
    <mergeCell ref="E65:H65"/>
    <mergeCell ref="I65:W65"/>
    <mergeCell ref="E60:H60"/>
    <mergeCell ref="J60:W60"/>
    <mergeCell ref="E61:H61"/>
    <mergeCell ref="I61:W61"/>
    <mergeCell ref="E62:H62"/>
    <mergeCell ref="J62:W62"/>
    <mergeCell ref="E69:H69"/>
    <mergeCell ref="I69:W69"/>
    <mergeCell ref="E70:H70"/>
    <mergeCell ref="J70:W70"/>
    <mergeCell ref="E71:H71"/>
    <mergeCell ref="I71:M71"/>
    <mergeCell ref="N71:W71"/>
    <mergeCell ref="E66:H66"/>
    <mergeCell ref="J66:W66"/>
    <mergeCell ref="E67:H67"/>
    <mergeCell ref="I67:W67"/>
    <mergeCell ref="E68:H68"/>
    <mergeCell ref="J68:W68"/>
    <mergeCell ref="E75:H75"/>
    <mergeCell ref="C78:H78"/>
    <mergeCell ref="D80:W80"/>
    <mergeCell ref="E81:H81"/>
    <mergeCell ref="I81:W81"/>
    <mergeCell ref="E82:H82"/>
    <mergeCell ref="J82:W82"/>
    <mergeCell ref="E72:H72"/>
    <mergeCell ref="J72:W72"/>
    <mergeCell ref="E73:H73"/>
    <mergeCell ref="I73:M73"/>
    <mergeCell ref="N73:W73"/>
    <mergeCell ref="E74:H74"/>
    <mergeCell ref="J74:W74"/>
    <mergeCell ref="E86:H86"/>
    <mergeCell ref="J86:W86"/>
    <mergeCell ref="E87:H87"/>
    <mergeCell ref="I87:M87"/>
    <mergeCell ref="N87:W87"/>
    <mergeCell ref="E88:H88"/>
    <mergeCell ref="J88:W88"/>
    <mergeCell ref="E83:H83"/>
    <mergeCell ref="I83:W83"/>
    <mergeCell ref="E84:H84"/>
    <mergeCell ref="J84:W84"/>
    <mergeCell ref="E85:H85"/>
    <mergeCell ref="I85:W85"/>
    <mergeCell ref="J92:W92"/>
    <mergeCell ref="C96:H96"/>
    <mergeCell ref="E98:H98"/>
    <mergeCell ref="I98:M98"/>
    <mergeCell ref="N98:W98"/>
    <mergeCell ref="E99:H99"/>
    <mergeCell ref="J99:W99"/>
    <mergeCell ref="E89:H89"/>
    <mergeCell ref="I89:M89"/>
    <mergeCell ref="N89:W89"/>
    <mergeCell ref="E90:H90"/>
    <mergeCell ref="J90:W90"/>
    <mergeCell ref="E91:H91"/>
    <mergeCell ref="I91:W91"/>
    <mergeCell ref="E103:H103"/>
    <mergeCell ref="J103:W103"/>
    <mergeCell ref="E104:H104"/>
    <mergeCell ref="I104:W104"/>
    <mergeCell ref="E105:H105"/>
    <mergeCell ref="J105:W105"/>
    <mergeCell ref="E100:H100"/>
    <mergeCell ref="E101:H101"/>
    <mergeCell ref="J101:W101"/>
    <mergeCell ref="E102:H102"/>
    <mergeCell ref="I102:W102"/>
    <mergeCell ref="I100:W100"/>
    <mergeCell ref="E109:H109"/>
    <mergeCell ref="J109:W109"/>
    <mergeCell ref="E110:H110"/>
    <mergeCell ref="C240:I240"/>
    <mergeCell ref="E106:H106"/>
    <mergeCell ref="I106:M106"/>
    <mergeCell ref="N106:W106"/>
    <mergeCell ref="E107:H107"/>
    <mergeCell ref="J107:W107"/>
    <mergeCell ref="E108:H108"/>
    <mergeCell ref="I108:M108"/>
    <mergeCell ref="N108:W108"/>
    <mergeCell ref="E115:H115"/>
    <mergeCell ref="I115:M115"/>
    <mergeCell ref="E116:H116"/>
    <mergeCell ref="J116:W116"/>
    <mergeCell ref="N115:W115"/>
    <mergeCell ref="O131:R131"/>
    <mergeCell ref="E134:H134"/>
    <mergeCell ref="E135:H135"/>
    <mergeCell ref="E136:H136"/>
    <mergeCell ref="O133:R133"/>
    <mergeCell ref="O132:R132"/>
    <mergeCell ref="S131:W131"/>
    <mergeCell ref="I306:O306"/>
    <mergeCell ref="P301:R301"/>
    <mergeCell ref="S301:T301"/>
    <mergeCell ref="U301:W301"/>
    <mergeCell ref="F299:I299"/>
    <mergeCell ref="N299:O299"/>
    <mergeCell ref="F295:I295"/>
    <mergeCell ref="N295:O295"/>
    <mergeCell ref="F296:I296"/>
    <mergeCell ref="N296:O296"/>
    <mergeCell ref="F297:I297"/>
    <mergeCell ref="N297:O297"/>
    <mergeCell ref="F298:I298"/>
    <mergeCell ref="N298:O298"/>
    <mergeCell ref="N300:O300"/>
    <mergeCell ref="P300:R300"/>
    <mergeCell ref="S300:T300"/>
    <mergeCell ref="U300:W300"/>
    <mergeCell ref="N301:O301"/>
    <mergeCell ref="F301:I301"/>
    <mergeCell ref="E292:E301"/>
    <mergeCell ref="F292:I292"/>
    <mergeCell ref="N292:O292"/>
    <mergeCell ref="P292:R299"/>
    <mergeCell ref="S292:T299"/>
    <mergeCell ref="U292:W299"/>
    <mergeCell ref="F293:I293"/>
    <mergeCell ref="N293:O293"/>
    <mergeCell ref="F294:I294"/>
    <mergeCell ref="F300:I300"/>
    <mergeCell ref="N294:O294"/>
    <mergeCell ref="K292:L292"/>
    <mergeCell ref="K293:L293"/>
    <mergeCell ref="K294:L294"/>
    <mergeCell ref="K295:L295"/>
    <mergeCell ref="K296:L296"/>
    <mergeCell ref="K297:L297"/>
    <mergeCell ref="K298:L298"/>
    <mergeCell ref="K299:L299"/>
    <mergeCell ref="K300:L300"/>
    <mergeCell ref="K301:L301"/>
    <mergeCell ref="P281:R289"/>
    <mergeCell ref="S281:T289"/>
    <mergeCell ref="U281:W289"/>
    <mergeCell ref="N283:O283"/>
    <mergeCell ref="F284:I284"/>
    <mergeCell ref="N284:O284"/>
    <mergeCell ref="N290:O290"/>
    <mergeCell ref="P290:R291"/>
    <mergeCell ref="S290:T291"/>
    <mergeCell ref="U290:W291"/>
    <mergeCell ref="F290:I290"/>
    <mergeCell ref="F291:I291"/>
    <mergeCell ref="N291:O291"/>
    <mergeCell ref="K281:L281"/>
    <mergeCell ref="K282:L282"/>
    <mergeCell ref="K283:L283"/>
    <mergeCell ref="K284:L284"/>
    <mergeCell ref="K285:L285"/>
    <mergeCell ref="K286:L286"/>
    <mergeCell ref="K287:L287"/>
    <mergeCell ref="K288:L288"/>
    <mergeCell ref="K289:L289"/>
    <mergeCell ref="K290:L290"/>
    <mergeCell ref="K291:L291"/>
    <mergeCell ref="C113:H113"/>
    <mergeCell ref="E138:H138"/>
    <mergeCell ref="C122:H122"/>
    <mergeCell ref="O135:R135"/>
    <mergeCell ref="I135:N135"/>
    <mergeCell ref="I136:N136"/>
    <mergeCell ref="I137:N137"/>
    <mergeCell ref="I138:N138"/>
    <mergeCell ref="D130:W130"/>
    <mergeCell ref="E126:H126"/>
    <mergeCell ref="I126:M126"/>
    <mergeCell ref="O126:Q126"/>
    <mergeCell ref="R126:W126"/>
    <mergeCell ref="E127:H127"/>
    <mergeCell ref="J127:W127"/>
    <mergeCell ref="E128:H128"/>
    <mergeCell ref="I128:M128"/>
    <mergeCell ref="O128:Q128"/>
    <mergeCell ref="R128:W128"/>
    <mergeCell ref="E129:H129"/>
    <mergeCell ref="J129:W129"/>
    <mergeCell ref="D131:H131"/>
    <mergeCell ref="I131:N131"/>
    <mergeCell ref="I132:N132"/>
    <mergeCell ref="I133:N133"/>
    <mergeCell ref="I134:N134"/>
    <mergeCell ref="O137:R137"/>
    <mergeCell ref="S137:W137"/>
    <mergeCell ref="O138:R138"/>
    <mergeCell ref="S138:W138"/>
    <mergeCell ref="S135:W135"/>
    <mergeCell ref="O136:R136"/>
    <mergeCell ref="S136:W136"/>
    <mergeCell ref="E132:H132"/>
    <mergeCell ref="E133:H133"/>
    <mergeCell ref="S132:W132"/>
    <mergeCell ref="E137:H137"/>
    <mergeCell ref="S133:W133"/>
    <mergeCell ref="O134:R134"/>
    <mergeCell ref="S134:W134"/>
    <mergeCell ref="E245:I245"/>
    <mergeCell ref="N245:O245"/>
    <mergeCell ref="P245:R245"/>
    <mergeCell ref="S245:T245"/>
    <mergeCell ref="U245:W245"/>
    <mergeCell ref="C143:H143"/>
    <mergeCell ref="E153:E173"/>
    <mergeCell ref="D242:W242"/>
    <mergeCell ref="G161:M161"/>
    <mergeCell ref="G162:M162"/>
    <mergeCell ref="G163:M163"/>
    <mergeCell ref="F167:F171"/>
    <mergeCell ref="N167:O167"/>
    <mergeCell ref="N168:O168"/>
    <mergeCell ref="N169:O169"/>
    <mergeCell ref="N170:O170"/>
    <mergeCell ref="N171:O171"/>
    <mergeCell ref="E246:E248"/>
    <mergeCell ref="F271:I271"/>
    <mergeCell ref="N271:O271"/>
    <mergeCell ref="F267:I267"/>
    <mergeCell ref="N267:O267"/>
    <mergeCell ref="F263:I263"/>
    <mergeCell ref="N263:O263"/>
    <mergeCell ref="N254:O254"/>
    <mergeCell ref="F255:I255"/>
    <mergeCell ref="E249:E259"/>
    <mergeCell ref="F253:I253"/>
    <mergeCell ref="N253:O253"/>
    <mergeCell ref="F254:I254"/>
    <mergeCell ref="F265:I265"/>
    <mergeCell ref="F252:I252"/>
    <mergeCell ref="N252:O252"/>
    <mergeCell ref="F258:I258"/>
    <mergeCell ref="N258:O258"/>
    <mergeCell ref="K252:L252"/>
    <mergeCell ref="K253:L253"/>
    <mergeCell ref="K254:L254"/>
    <mergeCell ref="K255:L255"/>
    <mergeCell ref="K256:L256"/>
    <mergeCell ref="K257:L257"/>
    <mergeCell ref="P249:R251"/>
    <mergeCell ref="S249:T251"/>
    <mergeCell ref="P246:R248"/>
    <mergeCell ref="S246:T248"/>
    <mergeCell ref="F246:I246"/>
    <mergeCell ref="N246:O246"/>
    <mergeCell ref="U246:W248"/>
    <mergeCell ref="F247:I247"/>
    <mergeCell ref="N247:O247"/>
    <mergeCell ref="F248:I248"/>
    <mergeCell ref="N248:O248"/>
    <mergeCell ref="F249:I249"/>
    <mergeCell ref="N249:O249"/>
    <mergeCell ref="U249:W251"/>
    <mergeCell ref="F250:I250"/>
    <mergeCell ref="N250:O250"/>
    <mergeCell ref="F251:I251"/>
    <mergeCell ref="N251:O251"/>
    <mergeCell ref="K246:L246"/>
    <mergeCell ref="K247:L247"/>
    <mergeCell ref="K248:L248"/>
    <mergeCell ref="K249:L249"/>
    <mergeCell ref="K250:L250"/>
    <mergeCell ref="K251:L251"/>
    <mergeCell ref="P252:R259"/>
    <mergeCell ref="S252:T259"/>
    <mergeCell ref="U252:W259"/>
    <mergeCell ref="U260:W280"/>
    <mergeCell ref="F261:I261"/>
    <mergeCell ref="N261:O261"/>
    <mergeCell ref="F262:I262"/>
    <mergeCell ref="N262:O262"/>
    <mergeCell ref="N255:O255"/>
    <mergeCell ref="F256:I256"/>
    <mergeCell ref="N256:O256"/>
    <mergeCell ref="F257:I257"/>
    <mergeCell ref="N257:O257"/>
    <mergeCell ref="F259:I259"/>
    <mergeCell ref="N259:O259"/>
    <mergeCell ref="N278:O278"/>
    <mergeCell ref="F268:I268"/>
    <mergeCell ref="N268:O268"/>
    <mergeCell ref="F269:I269"/>
    <mergeCell ref="N269:O269"/>
    <mergeCell ref="F270:I270"/>
    <mergeCell ref="N270:O270"/>
    <mergeCell ref="F264:I264"/>
    <mergeCell ref="N264:O264"/>
    <mergeCell ref="N273:O273"/>
    <mergeCell ref="F274:I274"/>
    <mergeCell ref="N274:O274"/>
    <mergeCell ref="F278:I278"/>
    <mergeCell ref="P260:R280"/>
    <mergeCell ref="S260:T280"/>
    <mergeCell ref="N279:O279"/>
    <mergeCell ref="F280:I280"/>
    <mergeCell ref="N280:O280"/>
    <mergeCell ref="K267:L267"/>
    <mergeCell ref="K268:L268"/>
    <mergeCell ref="K269:L269"/>
    <mergeCell ref="K270:L270"/>
    <mergeCell ref="K271:L271"/>
    <mergeCell ref="K272:L272"/>
    <mergeCell ref="K273:L273"/>
    <mergeCell ref="K274:L274"/>
    <mergeCell ref="K275:L275"/>
    <mergeCell ref="K276:L276"/>
    <mergeCell ref="K277:L277"/>
    <mergeCell ref="K278:L278"/>
    <mergeCell ref="K279:L279"/>
    <mergeCell ref="K280:L280"/>
    <mergeCell ref="K266:L266"/>
    <mergeCell ref="E281:E289"/>
    <mergeCell ref="F281:I281"/>
    <mergeCell ref="N281:O281"/>
    <mergeCell ref="F282:I282"/>
    <mergeCell ref="N282:O282"/>
    <mergeCell ref="F283:I283"/>
    <mergeCell ref="E260:E280"/>
    <mergeCell ref="F260:I260"/>
    <mergeCell ref="N260:O260"/>
    <mergeCell ref="F288:I288"/>
    <mergeCell ref="N288:O288"/>
    <mergeCell ref="F289:I289"/>
    <mergeCell ref="N289:O289"/>
    <mergeCell ref="F285:I285"/>
    <mergeCell ref="N285:O285"/>
    <mergeCell ref="F286:I286"/>
    <mergeCell ref="N275:O275"/>
    <mergeCell ref="F276:I276"/>
    <mergeCell ref="N276:O276"/>
    <mergeCell ref="F277:I277"/>
    <mergeCell ref="N277:O277"/>
    <mergeCell ref="F272:I272"/>
    <mergeCell ref="N272:O272"/>
    <mergeCell ref="F273:I273"/>
    <mergeCell ref="E290:E291"/>
    <mergeCell ref="I48:M48"/>
    <mergeCell ref="N48:W48"/>
    <mergeCell ref="E49:H49"/>
    <mergeCell ref="J49:W49"/>
    <mergeCell ref="E124:H124"/>
    <mergeCell ref="I124:M124"/>
    <mergeCell ref="N124:W124"/>
    <mergeCell ref="E125:H125"/>
    <mergeCell ref="J125:W125"/>
    <mergeCell ref="N286:O286"/>
    <mergeCell ref="F287:I287"/>
    <mergeCell ref="N287:O287"/>
    <mergeCell ref="N265:O265"/>
    <mergeCell ref="F266:I266"/>
    <mergeCell ref="N266:O266"/>
    <mergeCell ref="F275:I275"/>
    <mergeCell ref="F279:I279"/>
    <mergeCell ref="T164:W164"/>
    <mergeCell ref="T165:W165"/>
    <mergeCell ref="T166:W166"/>
    <mergeCell ref="G164:M164"/>
    <mergeCell ref="G165:M165"/>
    <mergeCell ref="G166:M166"/>
    <mergeCell ref="Q167:R167"/>
    <mergeCell ref="Q168:R168"/>
    <mergeCell ref="F164:F165"/>
    <mergeCell ref="N166:O166"/>
    <mergeCell ref="Q166:R166"/>
    <mergeCell ref="N182:O182"/>
    <mergeCell ref="N183:O183"/>
    <mergeCell ref="N184:O184"/>
    <mergeCell ref="N185:O185"/>
    <mergeCell ref="N165:O165"/>
    <mergeCell ref="N164:O164"/>
    <mergeCell ref="Q164:R164"/>
    <mergeCell ref="Q165:R165"/>
    <mergeCell ref="Q169:R169"/>
    <mergeCell ref="Q170:R170"/>
    <mergeCell ref="Q171:R171"/>
    <mergeCell ref="Q178:R178"/>
    <mergeCell ref="Q179:R179"/>
    <mergeCell ref="Q180:R180"/>
    <mergeCell ref="Q181:R181"/>
    <mergeCell ref="Q182:R182"/>
    <mergeCell ref="Q183:R183"/>
    <mergeCell ref="Q184:R184"/>
    <mergeCell ref="Q185:R185"/>
    <mergeCell ref="N181:O181"/>
    <mergeCell ref="N186:O186"/>
    <mergeCell ref="N187:O187"/>
    <mergeCell ref="N188:O188"/>
    <mergeCell ref="N189:O189"/>
    <mergeCell ref="N190:O190"/>
    <mergeCell ref="N191:O191"/>
    <mergeCell ref="Q172:R172"/>
    <mergeCell ref="Q173:R173"/>
    <mergeCell ref="Q174:R174"/>
    <mergeCell ref="Q175:R175"/>
    <mergeCell ref="Q176:R176"/>
    <mergeCell ref="Q177:R177"/>
    <mergeCell ref="N172:O172"/>
    <mergeCell ref="N173:O173"/>
    <mergeCell ref="N174:O174"/>
    <mergeCell ref="N175:O175"/>
    <mergeCell ref="N176:O176"/>
    <mergeCell ref="N177:O177"/>
    <mergeCell ref="N178:O178"/>
    <mergeCell ref="N179:O179"/>
    <mergeCell ref="N180:O180"/>
    <mergeCell ref="N206:O206"/>
    <mergeCell ref="Q205:R205"/>
    <mergeCell ref="Q206:R206"/>
    <mergeCell ref="T205:W205"/>
    <mergeCell ref="T206:W206"/>
    <mergeCell ref="F205:M205"/>
    <mergeCell ref="F206:M206"/>
    <mergeCell ref="T195:W195"/>
    <mergeCell ref="F192:M192"/>
    <mergeCell ref="F193:M193"/>
    <mergeCell ref="F194:M194"/>
    <mergeCell ref="F195:M195"/>
    <mergeCell ref="N192:O192"/>
    <mergeCell ref="N193:O193"/>
    <mergeCell ref="N194:O194"/>
    <mergeCell ref="N195:O195"/>
    <mergeCell ref="N196:O196"/>
    <mergeCell ref="N197:O197"/>
    <mergeCell ref="N198:O198"/>
    <mergeCell ref="N199:O199"/>
    <mergeCell ref="N200:O200"/>
    <mergeCell ref="N201:O201"/>
    <mergeCell ref="N202:O202"/>
    <mergeCell ref="N203:O203"/>
    <mergeCell ref="N210:O210"/>
    <mergeCell ref="N211:O211"/>
    <mergeCell ref="N212:O212"/>
    <mergeCell ref="Q210:R210"/>
    <mergeCell ref="Q211:R211"/>
    <mergeCell ref="Q212:R212"/>
    <mergeCell ref="T210:W210"/>
    <mergeCell ref="T211:W211"/>
    <mergeCell ref="T212:W212"/>
    <mergeCell ref="N207:O207"/>
    <mergeCell ref="N208:O208"/>
    <mergeCell ref="N209:O209"/>
    <mergeCell ref="Q207:R207"/>
    <mergeCell ref="Q208:R208"/>
    <mergeCell ref="Q209:R209"/>
    <mergeCell ref="T207:W207"/>
    <mergeCell ref="T208:W208"/>
    <mergeCell ref="T209:W209"/>
    <mergeCell ref="T236:W236"/>
    <mergeCell ref="T233:W233"/>
    <mergeCell ref="T234:W234"/>
    <mergeCell ref="T235:W235"/>
    <mergeCell ref="F229:G229"/>
    <mergeCell ref="F230:G230"/>
    <mergeCell ref="N228:O228"/>
    <mergeCell ref="N229:O229"/>
    <mergeCell ref="N230:O230"/>
    <mergeCell ref="N231:O231"/>
    <mergeCell ref="Q236:R236"/>
    <mergeCell ref="E235:M235"/>
    <mergeCell ref="E236:M236"/>
    <mergeCell ref="E231:M231"/>
    <mergeCell ref="E232:M232"/>
    <mergeCell ref="E233:M233"/>
    <mergeCell ref="E234:M234"/>
    <mergeCell ref="H229:M229"/>
    <mergeCell ref="H230:M230"/>
    <mergeCell ref="E227:E230"/>
    <mergeCell ref="F227:G227"/>
    <mergeCell ref="F228:G228"/>
    <mergeCell ref="N234:O234"/>
    <mergeCell ref="N235:O235"/>
    <mergeCell ref="Q146:S146"/>
    <mergeCell ref="F153:F157"/>
    <mergeCell ref="G153:M153"/>
    <mergeCell ref="G154:M154"/>
    <mergeCell ref="G155:M155"/>
    <mergeCell ref="G156:M156"/>
    <mergeCell ref="G157:M157"/>
    <mergeCell ref="F158:F159"/>
    <mergeCell ref="G158:M158"/>
    <mergeCell ref="G159:M159"/>
    <mergeCell ref="N147:O147"/>
    <mergeCell ref="N148:O148"/>
    <mergeCell ref="N149:O149"/>
    <mergeCell ref="N150:O150"/>
    <mergeCell ref="N151:O151"/>
    <mergeCell ref="N152:O152"/>
    <mergeCell ref="N153:O153"/>
    <mergeCell ref="N154:O154"/>
    <mergeCell ref="N155:O155"/>
    <mergeCell ref="N156:O156"/>
    <mergeCell ref="N157:O157"/>
    <mergeCell ref="N158:O158"/>
    <mergeCell ref="N159:O159"/>
    <mergeCell ref="N160:O160"/>
    <mergeCell ref="N161:O161"/>
    <mergeCell ref="N162:O162"/>
    <mergeCell ref="N163:O163"/>
    <mergeCell ref="N146:P146"/>
    <mergeCell ref="N204:O204"/>
    <mergeCell ref="N205:O205"/>
    <mergeCell ref="N232:O232"/>
    <mergeCell ref="N233:O233"/>
    <mergeCell ref="N225:O225"/>
    <mergeCell ref="N226:O226"/>
    <mergeCell ref="N227:O227"/>
    <mergeCell ref="N221:O221"/>
    <mergeCell ref="N222:O222"/>
    <mergeCell ref="N223:O223"/>
    <mergeCell ref="N224:O224"/>
    <mergeCell ref="N218:O218"/>
    <mergeCell ref="N219:O219"/>
    <mergeCell ref="N220:O220"/>
    <mergeCell ref="N216:O216"/>
    <mergeCell ref="N217:O217"/>
    <mergeCell ref="N213:O213"/>
    <mergeCell ref="N214:O214"/>
    <mergeCell ref="N215:O215"/>
    <mergeCell ref="N236:O236"/>
    <mergeCell ref="Q147:R147"/>
    <mergeCell ref="Q148:R148"/>
    <mergeCell ref="Q149:R149"/>
    <mergeCell ref="Q150:R150"/>
    <mergeCell ref="Q151:R151"/>
    <mergeCell ref="Q152:R152"/>
    <mergeCell ref="Q153:R153"/>
    <mergeCell ref="Q154:R154"/>
    <mergeCell ref="Q155:R155"/>
    <mergeCell ref="Q156:R156"/>
    <mergeCell ref="Q157:R157"/>
    <mergeCell ref="Q158:R158"/>
    <mergeCell ref="Q159:R159"/>
    <mergeCell ref="Q160:R160"/>
    <mergeCell ref="Q161:R161"/>
    <mergeCell ref="Q162:R162"/>
    <mergeCell ref="Q163:R163"/>
    <mergeCell ref="Q186:R186"/>
    <mergeCell ref="Q187:R187"/>
    <mergeCell ref="Q188:R188"/>
    <mergeCell ref="Q189:R189"/>
    <mergeCell ref="Q190:R190"/>
    <mergeCell ref="Q191:R191"/>
    <mergeCell ref="Q192:R192"/>
    <mergeCell ref="Q193:R193"/>
    <mergeCell ref="Q194:R194"/>
    <mergeCell ref="Q195:R195"/>
    <mergeCell ref="Q196:R196"/>
    <mergeCell ref="Q197:R197"/>
    <mergeCell ref="Q198:R198"/>
    <mergeCell ref="Q199:R199"/>
    <mergeCell ref="Q200:R200"/>
    <mergeCell ref="Q201:R201"/>
    <mergeCell ref="Q202:R202"/>
    <mergeCell ref="Q203:R203"/>
    <mergeCell ref="Q204:R204"/>
    <mergeCell ref="Q228:R228"/>
    <mergeCell ref="Q229:R229"/>
    <mergeCell ref="Q230:R230"/>
    <mergeCell ref="Q231:R231"/>
    <mergeCell ref="Q232:R232"/>
    <mergeCell ref="Q225:R225"/>
    <mergeCell ref="Q226:R226"/>
    <mergeCell ref="Q227:R227"/>
    <mergeCell ref="Q221:R221"/>
    <mergeCell ref="Q222:R222"/>
    <mergeCell ref="Q223:R223"/>
    <mergeCell ref="Q224:R224"/>
    <mergeCell ref="Q218:R218"/>
    <mergeCell ref="Q219:R219"/>
    <mergeCell ref="Q220:R220"/>
    <mergeCell ref="Q216:R216"/>
    <mergeCell ref="Q217:R217"/>
    <mergeCell ref="Q213:R213"/>
    <mergeCell ref="Q214:R214"/>
    <mergeCell ref="Q215:R215"/>
    <mergeCell ref="Q233:R233"/>
    <mergeCell ref="Q234:R234"/>
    <mergeCell ref="Q235:R235"/>
    <mergeCell ref="T146:W146"/>
    <mergeCell ref="T147:W147"/>
    <mergeCell ref="T148:W148"/>
    <mergeCell ref="T149:W149"/>
    <mergeCell ref="T150:W150"/>
    <mergeCell ref="T151:W151"/>
    <mergeCell ref="T152:W152"/>
    <mergeCell ref="T153:W153"/>
    <mergeCell ref="T154:W154"/>
    <mergeCell ref="T155:W155"/>
    <mergeCell ref="T156:W156"/>
    <mergeCell ref="T157:W157"/>
    <mergeCell ref="T158:W158"/>
    <mergeCell ref="T159:W159"/>
    <mergeCell ref="T160:W160"/>
    <mergeCell ref="T161:W161"/>
    <mergeCell ref="T162:W162"/>
    <mergeCell ref="T163:W163"/>
    <mergeCell ref="T167:W167"/>
    <mergeCell ref="T168:W168"/>
    <mergeCell ref="T169:W169"/>
    <mergeCell ref="T170:W170"/>
    <mergeCell ref="T171:W171"/>
    <mergeCell ref="T172:W172"/>
    <mergeCell ref="T173:W173"/>
    <mergeCell ref="T174:W174"/>
    <mergeCell ref="T175:W175"/>
    <mergeCell ref="T176:W176"/>
    <mergeCell ref="T177:W177"/>
    <mergeCell ref="T178:W178"/>
    <mergeCell ref="T179:W179"/>
    <mergeCell ref="T180:W180"/>
    <mergeCell ref="T181:W181"/>
    <mergeCell ref="T182:W182"/>
    <mergeCell ref="T183:W183"/>
    <mergeCell ref="T184:W184"/>
    <mergeCell ref="T186:W186"/>
    <mergeCell ref="T187:W187"/>
    <mergeCell ref="T188:W188"/>
    <mergeCell ref="T185:W185"/>
    <mergeCell ref="T189:W189"/>
    <mergeCell ref="T190:W190"/>
    <mergeCell ref="T191:W191"/>
    <mergeCell ref="T192:W192"/>
    <mergeCell ref="T193:W193"/>
    <mergeCell ref="T194:W194"/>
    <mergeCell ref="T196:W196"/>
    <mergeCell ref="T197:W197"/>
    <mergeCell ref="T198:W198"/>
    <mergeCell ref="T199:W199"/>
    <mergeCell ref="T200:W200"/>
    <mergeCell ref="T201:W201"/>
    <mergeCell ref="T202:W202"/>
    <mergeCell ref="T203:W203"/>
    <mergeCell ref="T204:W204"/>
    <mergeCell ref="T224:W224"/>
    <mergeCell ref="T225:W225"/>
    <mergeCell ref="T226:W226"/>
    <mergeCell ref="T221:W221"/>
    <mergeCell ref="T222:W222"/>
    <mergeCell ref="T223:W223"/>
    <mergeCell ref="T218:W218"/>
    <mergeCell ref="T219:W219"/>
    <mergeCell ref="T220:W220"/>
    <mergeCell ref="T216:W216"/>
    <mergeCell ref="T217:W217"/>
    <mergeCell ref="T213:W213"/>
    <mergeCell ref="T214:W214"/>
    <mergeCell ref="T215:W215"/>
    <mergeCell ref="T227:W227"/>
    <mergeCell ref="T228:W228"/>
    <mergeCell ref="T229:W229"/>
    <mergeCell ref="T230:W230"/>
    <mergeCell ref="T231:W231"/>
    <mergeCell ref="T232:W232"/>
    <mergeCell ref="F174:M174"/>
    <mergeCell ref="F175:M175"/>
    <mergeCell ref="F176:M176"/>
    <mergeCell ref="F177:M177"/>
    <mergeCell ref="F178:M178"/>
    <mergeCell ref="F179:M179"/>
    <mergeCell ref="F180:M180"/>
    <mergeCell ref="F181:M181"/>
    <mergeCell ref="F182:M182"/>
    <mergeCell ref="E223:M223"/>
    <mergeCell ref="E224:M224"/>
    <mergeCell ref="E225:M225"/>
    <mergeCell ref="F183:M183"/>
    <mergeCell ref="F184:M184"/>
    <mergeCell ref="F185:M185"/>
    <mergeCell ref="F186:M186"/>
    <mergeCell ref="F187:M187"/>
    <mergeCell ref="F188:M188"/>
    <mergeCell ref="F191:M191"/>
    <mergeCell ref="F208:M208"/>
    <mergeCell ref="F209:M209"/>
    <mergeCell ref="F196:M196"/>
    <mergeCell ref="F197:M197"/>
    <mergeCell ref="E221:F222"/>
    <mergeCell ref="E218:M218"/>
    <mergeCell ref="E219:M219"/>
    <mergeCell ref="E220:M220"/>
    <mergeCell ref="G221:M221"/>
    <mergeCell ref="F210:M210"/>
    <mergeCell ref="G222:M222"/>
    <mergeCell ref="E216:M216"/>
    <mergeCell ref="E217:M217"/>
    <mergeCell ref="F213:M213"/>
    <mergeCell ref="F214:M214"/>
    <mergeCell ref="F215:M215"/>
    <mergeCell ref="E195:E215"/>
    <mergeCell ref="F200:M200"/>
    <mergeCell ref="F201:M201"/>
    <mergeCell ref="F202:M202"/>
    <mergeCell ref="E174:E194"/>
    <mergeCell ref="F189:M189"/>
    <mergeCell ref="F190:M190"/>
    <mergeCell ref="C3:X3"/>
    <mergeCell ref="C4:X4"/>
    <mergeCell ref="C5:X5"/>
    <mergeCell ref="C6:X6"/>
    <mergeCell ref="E303:W303"/>
    <mergeCell ref="E304:W304"/>
    <mergeCell ref="E305:W305"/>
    <mergeCell ref="F198:M198"/>
    <mergeCell ref="F199:M199"/>
    <mergeCell ref="E226:M226"/>
    <mergeCell ref="H227:M227"/>
    <mergeCell ref="H228:M228"/>
    <mergeCell ref="F203:M203"/>
    <mergeCell ref="F204:M204"/>
    <mergeCell ref="F211:M211"/>
    <mergeCell ref="F212:M212"/>
    <mergeCell ref="F207:M207"/>
    <mergeCell ref="D145:W145"/>
    <mergeCell ref="D243:W243"/>
    <mergeCell ref="D244:W244"/>
    <mergeCell ref="G167:M167"/>
    <mergeCell ref="G168:M168"/>
    <mergeCell ref="G169:M169"/>
    <mergeCell ref="E140:W140"/>
    <mergeCell ref="K258:L258"/>
    <mergeCell ref="K259:L259"/>
    <mergeCell ref="K260:L260"/>
    <mergeCell ref="K261:L261"/>
    <mergeCell ref="K262:L262"/>
    <mergeCell ref="K263:L263"/>
    <mergeCell ref="K264:L264"/>
    <mergeCell ref="K265:L265"/>
    <mergeCell ref="K245:L245"/>
    <mergeCell ref="G170:M170"/>
    <mergeCell ref="G171:M171"/>
    <mergeCell ref="G172:M172"/>
    <mergeCell ref="G173:M173"/>
    <mergeCell ref="E146:M146"/>
    <mergeCell ref="E147:M147"/>
    <mergeCell ref="E148:M148"/>
    <mergeCell ref="E149:M149"/>
    <mergeCell ref="E150:M150"/>
    <mergeCell ref="E151:M151"/>
    <mergeCell ref="E152:M152"/>
    <mergeCell ref="G160:M160"/>
  </mergeCells>
  <phoneticPr fontId="5"/>
  <conditionalFormatting sqref="I10:M10">
    <cfRule type="expression" dxfId="73" priority="108" stopIfTrue="1">
      <formula>ISBLANK($I10)</formula>
    </cfRule>
  </conditionalFormatting>
  <conditionalFormatting sqref="I12:M12">
    <cfRule type="expression" dxfId="72" priority="107" stopIfTrue="1">
      <formula>AND($I12&lt;&gt;"個人", $I12&lt;&gt;"法人")</formula>
    </cfRule>
  </conditionalFormatting>
  <conditionalFormatting sqref="I14:M14">
    <cfRule type="expression" dxfId="71" priority="106" stopIfTrue="1">
      <formula>AND($I14&lt;&gt;"無", $I14&lt;&gt;"有")</formula>
    </cfRule>
  </conditionalFormatting>
  <conditionalFormatting sqref="I16:M16">
    <cfRule type="expression" dxfId="70" priority="105" stopIfTrue="1">
      <formula>AND($I16&lt;&gt;"無", $I16&lt;&gt;"有")</formula>
    </cfRule>
  </conditionalFormatting>
  <conditionalFormatting sqref="I22:M22">
    <cfRule type="expression" dxfId="69" priority="104" stopIfTrue="1">
      <formula>AND($I22&lt;&gt;"市内", $I22&lt;&gt;"県内", $I22&lt;&gt;"県外")</formula>
    </cfRule>
  </conditionalFormatting>
  <conditionalFormatting sqref="I24:M24">
    <cfRule type="expression" dxfId="68" priority="103" stopIfTrue="1">
      <formula>ISBLANK($I24)</formula>
    </cfRule>
  </conditionalFormatting>
  <conditionalFormatting sqref="I26:W26">
    <cfRule type="expression" dxfId="67" priority="102" stopIfTrue="1">
      <formula>AND(I26&lt;&gt;"", OR(ISERROR(FIND("@"&amp;LEFT(I26,3)&amp;"@",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ISERROR(FIND("@"&amp;LEFT(I26,4)&amp;"@","@神奈川県@和歌山県@鹿児島県@"))=FALSE))=FALSE</formula>
    </cfRule>
  </conditionalFormatting>
  <conditionalFormatting sqref="I28:W28">
    <cfRule type="expression" dxfId="66" priority="101" stopIfTrue="1">
      <formula>ISBLANK($I28)</formula>
    </cfRule>
  </conditionalFormatting>
  <conditionalFormatting sqref="I30:W30">
    <cfRule type="expression" dxfId="65" priority="100" stopIfTrue="1">
      <formula>ISBLANK($I30)</formula>
    </cfRule>
  </conditionalFormatting>
  <conditionalFormatting sqref="I32:W32">
    <cfRule type="expression" dxfId="64" priority="99" stopIfTrue="1">
      <formula>ISBLANK($I32)</formula>
    </cfRule>
  </conditionalFormatting>
  <conditionalFormatting sqref="I36:W36">
    <cfRule type="expression" dxfId="63" priority="98" stopIfTrue="1">
      <formula>ISBLANK($I36)</formula>
    </cfRule>
  </conditionalFormatting>
  <conditionalFormatting sqref="I38:M38">
    <cfRule type="expression" dxfId="62" priority="97" stopIfTrue="1">
      <formula>ISBLANK($I38)</formula>
    </cfRule>
  </conditionalFormatting>
  <conditionalFormatting sqref="I40:M40">
    <cfRule type="expression" dxfId="61" priority="96" stopIfTrue="1">
      <formula>ISBLANK($I40)</formula>
    </cfRule>
  </conditionalFormatting>
  <conditionalFormatting sqref="I42:M42">
    <cfRule type="expression" dxfId="60" priority="95" stopIfTrue="1">
      <formula>ISBLANK($I42)</formula>
    </cfRule>
  </conditionalFormatting>
  <conditionalFormatting sqref="I44:M44">
    <cfRule type="expression" dxfId="59" priority="94" stopIfTrue="1">
      <formula>AND($I44&lt;&gt;"なし", $I44&lt;&gt;"会社更生法", $I44&lt;&gt;"民事再生法")</formula>
    </cfRule>
  </conditionalFormatting>
  <conditionalFormatting sqref="I46:M46">
    <cfRule type="expression" dxfId="58" priority="93" stopIfTrue="1">
      <formula>AND(OR(I44="会社更生法",I44="民事再生法"), AND(ISBLANK(I46), ISBLANK(I48)))</formula>
    </cfRule>
  </conditionalFormatting>
  <conditionalFormatting sqref="I48:M48">
    <cfRule type="expression" dxfId="57" priority="92" stopIfTrue="1">
      <formula>AND(OR(I44="会社更生法",I44="民事再生法"), AND(ISBLANK(I46), ISBLANK(I48)))</formula>
    </cfRule>
  </conditionalFormatting>
  <conditionalFormatting sqref="I55:M55">
    <cfRule type="expression" dxfId="56" priority="91" stopIfTrue="1">
      <formula>AND(I14="有",AND($I55&lt;&gt;"市内", $I55&lt;&gt;"県内", $I55&lt;&gt;"県外"))</formula>
    </cfRule>
  </conditionalFormatting>
  <conditionalFormatting sqref="I57:M57">
    <cfRule type="expression" dxfId="55" priority="90" stopIfTrue="1">
      <formula>AND($I14="有",ISBLANK($I57))</formula>
    </cfRule>
  </conditionalFormatting>
  <conditionalFormatting sqref="I59:W59">
    <cfRule type="expression" dxfId="54" priority="89" stopIfTrue="1">
      <formula>AND(I14="有", AND(I59&lt;&gt;"", OR(ISERROR(FIND("@"&amp;LEFT(I59,3)&amp;"@",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ISERROR(FIND("@"&amp;LEFT(I59,4)&amp;"@","@神奈川県@和歌山県@鹿児島県@"))=FALSE))=FALSE)</formula>
    </cfRule>
  </conditionalFormatting>
  <conditionalFormatting sqref="I61:W61">
    <cfRule type="expression" dxfId="53" priority="88" stopIfTrue="1">
      <formula>AND($I14="有",ISBLANK($I61))</formula>
    </cfRule>
  </conditionalFormatting>
  <conditionalFormatting sqref="I63:W63">
    <cfRule type="expression" dxfId="52" priority="87" stopIfTrue="1">
      <formula>AND($I14="有",ISBLANK($I63))</formula>
    </cfRule>
  </conditionalFormatting>
  <conditionalFormatting sqref="I65:W65">
    <cfRule type="expression" dxfId="51" priority="86" stopIfTrue="1">
      <formula>AND($I14="有",ISBLANK($I65))</formula>
    </cfRule>
  </conditionalFormatting>
  <conditionalFormatting sqref="I69:W69">
    <cfRule type="expression" dxfId="50" priority="85" stopIfTrue="1">
      <formula>AND($I14="有",ISBLANK($I69))</formula>
    </cfRule>
  </conditionalFormatting>
  <conditionalFormatting sqref="I71:M71">
    <cfRule type="expression" dxfId="49" priority="84" stopIfTrue="1">
      <formula>AND($I14="有",ISBLANK($I71))</formula>
    </cfRule>
  </conditionalFormatting>
  <conditionalFormatting sqref="I73:M73">
    <cfRule type="expression" dxfId="48" priority="83" stopIfTrue="1">
      <formula>AND($I14="有",ISBLANK($I73))</formula>
    </cfRule>
  </conditionalFormatting>
  <conditionalFormatting sqref="I81:W81">
    <cfRule type="expression" dxfId="47" priority="82" stopIfTrue="1">
      <formula>ISBLANK($I81)</formula>
    </cfRule>
  </conditionalFormatting>
  <conditionalFormatting sqref="I85:W85">
    <cfRule type="expression" dxfId="46" priority="81" stopIfTrue="1">
      <formula>ISBLANK($I85)</formula>
    </cfRule>
  </conditionalFormatting>
  <conditionalFormatting sqref="I87:M87">
    <cfRule type="expression" dxfId="45" priority="80" stopIfTrue="1">
      <formula>ISBLANK($I87)</formula>
    </cfRule>
  </conditionalFormatting>
  <conditionalFormatting sqref="I98:M98">
    <cfRule type="expression" dxfId="44" priority="79" stopIfTrue="1">
      <formula>AND($I16="有",ISBLANK($I98))</formula>
    </cfRule>
  </conditionalFormatting>
  <conditionalFormatting sqref="I100:W100">
    <cfRule type="expression" dxfId="43" priority="78" stopIfTrue="1">
      <formula>AND(I16="有", AND(I100&lt;&gt;"", OR(ISERROR(FIND("@"&amp;LEFT(I100,3)&amp;"@",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ISERROR(FIND("@"&amp;LEFT(I100,4)&amp;"@","@神奈川県@和歌山県@鹿児島県@"))=FALSE))=FALSE)</formula>
    </cfRule>
  </conditionalFormatting>
  <conditionalFormatting sqref="I104:W104">
    <cfRule type="expression" dxfId="42" priority="77" stopIfTrue="1">
      <formula>AND($I16="有",ISBLANK($I104))</formula>
    </cfRule>
  </conditionalFormatting>
  <conditionalFormatting sqref="I106:M106">
    <cfRule type="expression" dxfId="41" priority="76" stopIfTrue="1">
      <formula>AND($I16="有",ISBLANK($I106))</formula>
    </cfRule>
  </conditionalFormatting>
  <conditionalFormatting sqref="N260:O260">
    <cfRule type="expression" dxfId="40" priority="69" stopIfTrue="1">
      <formula>AND($M260="あり", OR($N260="", $N260&lt;0))</formula>
    </cfRule>
  </conditionalFormatting>
  <conditionalFormatting sqref="N261:O261">
    <cfRule type="expression" dxfId="39" priority="67" stopIfTrue="1">
      <formula>AND($M261="あり", OR($N261="", $N261&lt;0))</formula>
    </cfRule>
  </conditionalFormatting>
  <conditionalFormatting sqref="N262:O262">
    <cfRule type="expression" dxfId="38" priority="65" stopIfTrue="1">
      <formula>AND($M262="あり", OR($N262="", $N262&lt;0))</formula>
    </cfRule>
  </conditionalFormatting>
  <conditionalFormatting sqref="N263:O263">
    <cfRule type="expression" dxfId="37" priority="63" stopIfTrue="1">
      <formula>AND($M263="あり", OR($N263="", $N263&lt;0))</formula>
    </cfRule>
  </conditionalFormatting>
  <conditionalFormatting sqref="N264:O264">
    <cfRule type="expression" dxfId="36" priority="61" stopIfTrue="1">
      <formula>AND($M264="あり", OR($N264="", $N264&lt;0))</formula>
    </cfRule>
  </conditionalFormatting>
  <conditionalFormatting sqref="N265:O265">
    <cfRule type="expression" dxfId="35" priority="59" stopIfTrue="1">
      <formula>AND($M265="あり", OR($N265="", $N265&lt;0))</formula>
    </cfRule>
  </conditionalFormatting>
  <conditionalFormatting sqref="N266:O266">
    <cfRule type="expression" dxfId="34" priority="57" stopIfTrue="1">
      <formula>AND($M266="あり", OR($N266="", $N266&lt;0))</formula>
    </cfRule>
  </conditionalFormatting>
  <conditionalFormatting sqref="N267:O267">
    <cfRule type="expression" dxfId="33" priority="55" stopIfTrue="1">
      <formula>AND($M267="あり", OR($N267="", $N267&lt;0))</formula>
    </cfRule>
  </conditionalFormatting>
  <conditionalFormatting sqref="N268:O268">
    <cfRule type="expression" dxfId="32" priority="53" stopIfTrue="1">
      <formula>AND($M268="あり", OR($N268="", $N268&lt;0))</formula>
    </cfRule>
  </conditionalFormatting>
  <conditionalFormatting sqref="N269:O269">
    <cfRule type="expression" dxfId="31" priority="51" stopIfTrue="1">
      <formula>AND($M269="あり", OR($N269="", $N269&lt;0))</formula>
    </cfRule>
  </conditionalFormatting>
  <conditionalFormatting sqref="N270:O270">
    <cfRule type="expression" dxfId="30" priority="49" stopIfTrue="1">
      <formula>AND($M270="あり", OR($N270="", $N270&lt;0))</formula>
    </cfRule>
  </conditionalFormatting>
  <conditionalFormatting sqref="N271:O271">
    <cfRule type="expression" dxfId="29" priority="47" stopIfTrue="1">
      <formula>AND($M271="あり", OR($N271="", $N271&lt;0))</formula>
    </cfRule>
  </conditionalFormatting>
  <conditionalFormatting sqref="N272:O272">
    <cfRule type="expression" dxfId="28" priority="45" stopIfTrue="1">
      <formula>AND($M272="あり", OR($N272="", $N272&lt;0))</formula>
    </cfRule>
  </conditionalFormatting>
  <conditionalFormatting sqref="N273:O273">
    <cfRule type="expression" dxfId="27" priority="43" stopIfTrue="1">
      <formula>AND($M273="あり", OR($N273="", $N273&lt;0))</formula>
    </cfRule>
  </conditionalFormatting>
  <conditionalFormatting sqref="N274:O274">
    <cfRule type="expression" dxfId="26" priority="41" stopIfTrue="1">
      <formula>AND($M274="あり", OR($N274="", $N274&lt;0))</formula>
    </cfRule>
  </conditionalFormatting>
  <conditionalFormatting sqref="N275:O275">
    <cfRule type="expression" dxfId="25" priority="39" stopIfTrue="1">
      <formula>AND($M275="あり", OR($N275="", $N275&lt;0))</formula>
    </cfRule>
  </conditionalFormatting>
  <conditionalFormatting sqref="N276:O276">
    <cfRule type="expression" dxfId="24" priority="37" stopIfTrue="1">
      <formula>AND($M276="あり", OR($N276="", $N276&lt;0))</formula>
    </cfRule>
  </conditionalFormatting>
  <conditionalFormatting sqref="N277:O277">
    <cfRule type="expression" dxfId="23" priority="35" stopIfTrue="1">
      <formula>AND($M277="あり", OR($N277="", $N277&lt;0))</formula>
    </cfRule>
  </conditionalFormatting>
  <conditionalFormatting sqref="N278:O278">
    <cfRule type="expression" dxfId="22" priority="33" stopIfTrue="1">
      <formula>AND($M278="あり", OR($N278="", $N278&lt;0))</formula>
    </cfRule>
  </conditionalFormatting>
  <conditionalFormatting sqref="N279:O279">
    <cfRule type="expression" dxfId="21" priority="31" stopIfTrue="1">
      <formula>AND($M279="あり", OR($N279="", $N279&lt;0))</formula>
    </cfRule>
  </conditionalFormatting>
  <conditionalFormatting sqref="N280:O280">
    <cfRule type="expression" dxfId="20" priority="29" stopIfTrue="1">
      <formula>AND($M280="あり", OR($N280="", $N280&lt;0))</formula>
    </cfRule>
  </conditionalFormatting>
  <conditionalFormatting sqref="N292:O292">
    <cfRule type="expression" dxfId="19" priority="27" stopIfTrue="1">
      <formula>AND($M292="あり", OR($N292="", $N292&lt;0))</formula>
    </cfRule>
  </conditionalFormatting>
  <conditionalFormatting sqref="N293:O293">
    <cfRule type="expression" dxfId="18" priority="25" stopIfTrue="1">
      <formula>AND($M293="あり", OR($N293="", $N293&lt;0))</formula>
    </cfRule>
  </conditionalFormatting>
  <conditionalFormatting sqref="N294:O294">
    <cfRule type="expression" dxfId="17" priority="23" stopIfTrue="1">
      <formula>AND($M294="あり", OR($N294="", $N294&lt;0))</formula>
    </cfRule>
  </conditionalFormatting>
  <conditionalFormatting sqref="N295:O295">
    <cfRule type="expression" dxfId="16" priority="21" stopIfTrue="1">
      <formula>AND($M295="あり", OR($N295="", $N295&lt;0))</formula>
    </cfRule>
  </conditionalFormatting>
  <conditionalFormatting sqref="N296:O296">
    <cfRule type="expression" dxfId="15" priority="19" stopIfTrue="1">
      <formula>AND($M296="あり", OR($N296="", $N296&lt;0))</formula>
    </cfRule>
  </conditionalFormatting>
  <conditionalFormatting sqref="N297:O297">
    <cfRule type="expression" dxfId="14" priority="17" stopIfTrue="1">
      <formula>AND($M297="あり", OR($N297="", $N297&lt;0))</formula>
    </cfRule>
  </conditionalFormatting>
  <conditionalFormatting sqref="N298:O298">
    <cfRule type="expression" dxfId="13" priority="15" stopIfTrue="1">
      <formula>AND($M298="あり", OR($N298="", $N298&lt;0))</formula>
    </cfRule>
  </conditionalFormatting>
  <conditionalFormatting sqref="N299:O299">
    <cfRule type="expression" dxfId="12" priority="13" stopIfTrue="1">
      <formula>AND($M299="あり", OR($N299="", $N299&lt;0))</formula>
    </cfRule>
  </conditionalFormatting>
  <conditionalFormatting sqref="S246:T248">
    <cfRule type="expression" dxfId="11" priority="12" stopIfTrue="1">
      <formula>AND(OR($K246="する", $K247="する", $K248="する"), $S246="")</formula>
    </cfRule>
  </conditionalFormatting>
  <conditionalFormatting sqref="U246:W248">
    <cfRule type="expression" dxfId="10" priority="11" stopIfTrue="1">
      <formula>AND(OR($K246="する", $K247="する", $K248="する"), $U246="")</formula>
    </cfRule>
  </conditionalFormatting>
  <conditionalFormatting sqref="S249:T251">
    <cfRule type="expression" dxfId="9" priority="10" stopIfTrue="1">
      <formula>AND(OR($K249="する", $K250="する", $K251="する"), $S249="")</formula>
    </cfRule>
  </conditionalFormatting>
  <conditionalFormatting sqref="U249:W251">
    <cfRule type="expression" dxfId="8" priority="9" stopIfTrue="1">
      <formula>AND(OR($K249="する", $K250="する", $K251="する"), $U249="")</formula>
    </cfRule>
  </conditionalFormatting>
  <conditionalFormatting sqref="S260:T280">
    <cfRule type="expression" dxfId="7" priority="8" stopIfTrue="1">
      <formula>AND(OR($M260="あり",$M261="あり",$M262="あり",$M263="あり",$M264="あり",$M265="あり",$M266="あり",$M267="あり",$M268="あり",$M269="あり",$M270="あり",$M271="あり",$M272="あり",$M273="あり",$M274="あり",$M275="あり",$M276="あり",$M277="あり",$M278="あり",$M279="あり",$M280="あり"),$S260="")</formula>
    </cfRule>
  </conditionalFormatting>
  <conditionalFormatting sqref="U260:W280">
    <cfRule type="expression" dxfId="6" priority="7" stopIfTrue="1">
      <formula>AND(OR($M260="あり",$M261="あり",$M262="あり",$M263="あり",$M264="あり",$M265="あり",$M266="あり",$M267="あり",$M268="あり",$M269="あり",$M270="あり",$M271="あり",$M272="あり",$M273="あり",$M274="あり",$M275="あり",$M276="あり",$M277="あり",$M278="あり",$M279="あり",$M280="あり"),$U260="")</formula>
    </cfRule>
  </conditionalFormatting>
  <conditionalFormatting sqref="S292:T299">
    <cfRule type="expression" dxfId="5" priority="6" stopIfTrue="1">
      <formula>AND(OR($M292="あり",$M293="あり",$M294="あり",$M295="あり",$M296="あり",$M297="あり",$M298="あり",$M299="あり"),$S292="")</formula>
    </cfRule>
  </conditionalFormatting>
  <conditionalFormatting sqref="U292:W299">
    <cfRule type="expression" dxfId="4" priority="5" stopIfTrue="1">
      <formula>AND(OR($M292="あり",$M293="あり",$M294="あり",$M295="あり",$M296="あり",$M297="あり",$M298="あり",$M299="あり"),$U292="")</formula>
    </cfRule>
  </conditionalFormatting>
  <conditionalFormatting sqref="S300:T300">
    <cfRule type="expression" dxfId="3" priority="4" stopIfTrue="1">
      <formula>AND($K300="する", S300="")</formula>
    </cfRule>
  </conditionalFormatting>
  <conditionalFormatting sqref="U300:W300">
    <cfRule type="expression" dxfId="2" priority="3" stopIfTrue="1">
      <formula>AND($K300="する", U300="")</formula>
    </cfRule>
  </conditionalFormatting>
  <conditionalFormatting sqref="I115:M115">
    <cfRule type="expression" dxfId="1" priority="2">
      <formula>ISBLANK($I115)</formula>
    </cfRule>
  </conditionalFormatting>
  <conditionalFormatting sqref="I117:M117">
    <cfRule type="expression" dxfId="0" priority="1">
      <formula>ISBLANK($I117)</formula>
    </cfRule>
  </conditionalFormatting>
  <dataValidations count="15">
    <dataValidation type="date" imeMode="halfAlpha" allowBlank="1" showInputMessage="1" showErrorMessage="1" error="有効な日付を入力してください" sqref="I10:M10 U290:W300 U260:W280 U246:W251 I48:M48 I46:M46">
      <formula1>92</formula1>
      <formula2>73415</formula2>
    </dataValidation>
    <dataValidation type="list" allowBlank="1" showInputMessage="1" showErrorMessage="1" error="リストから選択してください" sqref="I12:M12">
      <formula1>"個人,法人"</formula1>
    </dataValidation>
    <dataValidation type="list" allowBlank="1" showInputMessage="1" showErrorMessage="1" error="リストから選択してください" sqref="I14:M14 I16:M16">
      <formula1>"無,有"</formula1>
    </dataValidation>
    <dataValidation type="list" allowBlank="1" showInputMessage="1" showErrorMessage="1" error="リストから選択してください" sqref="I22:M22 I55:M55">
      <formula1>"市内,県内,県外"</formula1>
    </dataValidation>
    <dataValidation type="whole" imeMode="halfAlpha" allowBlank="1" showInputMessage="1" showErrorMessage="1" error="7桁の数字を入力してください" sqref="I24:M24 I98:M98 I57:M57">
      <formula1>0</formula1>
      <formula2>9999999</formula2>
    </dataValidation>
    <dataValidation errorStyle="warning" imeMode="hiragana" allowBlank="1" showInputMessage="1" showErrorMessage="1" sqref="I26:W26 I104:W104 I100:W100 I85:W85 I81:W81 I69:W69 I65:W65 I63:W63 I59:W59 I36:W36 I32:W32 I30:W30"/>
    <dataValidation errorStyle="warning" imeMode="fullKatakana" allowBlank="1" showInputMessage="1" showErrorMessage="1" sqref="I28:W28 I102:W102 I83:W83 I67:W67 I61:W61 I34:W34"/>
    <dataValidation errorStyle="warning" imeMode="halfAlpha" allowBlank="1" showInputMessage="1" showErrorMessage="1" sqref="I38:M38 S290:T300 S260:T280 S246:T251 I108:M108 I106:M106 I91:W91 I89:M89 I87:M87 I73:M73 I71:M71 I40:M40"/>
    <dataValidation type="whole" imeMode="halfAlpha" allowBlank="1" showInputMessage="1" showErrorMessage="1" error="有効な数字を入力してください" sqref="I42:M42 Q147:R236 N147:O236">
      <formula1>-9999999999</formula1>
      <formula2>9999999999</formula2>
    </dataValidation>
    <dataValidation type="list" allowBlank="1" showInputMessage="1" showErrorMessage="1" error="リストから選択してください" sqref="I44:M44">
      <formula1>"なし,会社更生法,民事再生法"</formula1>
    </dataValidation>
    <dataValidation type="whole" imeMode="halfAlpha" allowBlank="1" showInputMessage="1" showErrorMessage="1" error="有効な数字を入力してください。10兆円以上になる場合は、9,999,999,999と入力してください。" sqref="I115:M11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17:M117 N292:O299 N260:O280 I132:W137">
      <formula1>-9999999999</formula1>
      <formula2>9999999999</formula2>
    </dataValidation>
    <dataValidation type="date" imeMode="halfAlpha" allowBlank="1" showInputMessage="1" showErrorMessage="1" error="有効な日付を入力してください" sqref="I124:M124 O128:Q128 I128:M128 O126:Q126 I126:M126">
      <formula1>36251</formula1>
      <formula2>73415</formula2>
    </dataValidation>
    <dataValidation type="list" allowBlank="1" showInputMessage="1" showErrorMessage="1" error="リストから選択してください" sqref="K246:L301">
      <formula1>"しない,する"</formula1>
    </dataValidation>
    <dataValidation type="list" imeMode="halfAlpha" allowBlank="1" showInputMessage="1" showErrorMessage="1" error="リストから選択してください" sqref="M292:M299 M260:M280">
      <formula1>"なし,あり"</formula1>
    </dataValidation>
  </dataValidations>
  <pageMargins left="0.19685039370078741" right="0.19685039370078741" top="0.39370078740157483" bottom="0.19685039370078741" header="0.39370078740157483" footer="0.19685039370078741"/>
  <pageSetup paperSize="9" scale="81" fitToHeight="0" orientation="portrait" r:id="rId1"/>
  <headerFooter>
    <oddHeader>&amp;R&amp;8&amp;P/&amp;N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W74"/>
  <sheetViews>
    <sheetView showGridLines="0" zoomScaleNormal="100" workbookViewId="0"/>
  </sheetViews>
  <sheetFormatPr defaultRowHeight="13.5"/>
  <cols>
    <col min="1" max="24" width="1.625" style="114" customWidth="1"/>
    <col min="25" max="55" width="1.625" style="112" customWidth="1"/>
    <col min="56" max="16384" width="9" style="113"/>
  </cols>
  <sheetData>
    <row r="1" spans="1:55" ht="11.25" customHeight="1">
      <c r="A1" s="111"/>
      <c r="B1" s="833" t="str">
        <f>"" &amp; 本社名称</f>
        <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833"/>
      <c r="AN1" s="833"/>
      <c r="AO1" s="833"/>
      <c r="AP1" s="833"/>
      <c r="AQ1" s="833"/>
      <c r="AR1" s="833"/>
      <c r="AS1" s="833"/>
      <c r="AT1" s="833"/>
      <c r="AU1" s="833"/>
      <c r="AV1" s="833"/>
      <c r="AW1" s="833"/>
      <c r="AX1" s="833"/>
      <c r="AY1" s="833"/>
      <c r="AZ1" s="833"/>
      <c r="BC1" s="112" t="s">
        <v>221</v>
      </c>
    </row>
    <row r="2" spans="1:55" ht="20.100000000000001" customHeight="1">
      <c r="AO2" s="830" t="str">
        <f>IF(ISBLANK(申請年月日), "平成　　年　　月　　日", TEXT(申請年月日, "ggge年m月d日"))</f>
        <v>平成　　年　　月　　日</v>
      </c>
      <c r="AP2" s="830"/>
      <c r="AQ2" s="830"/>
      <c r="AR2" s="830"/>
      <c r="AS2" s="830"/>
      <c r="AT2" s="830"/>
      <c r="AU2" s="830"/>
      <c r="AV2" s="830"/>
      <c r="AW2" s="830"/>
      <c r="AX2" s="830"/>
      <c r="AY2" s="830"/>
      <c r="AZ2" s="830"/>
    </row>
    <row r="3" spans="1:55" ht="24.95" customHeight="1">
      <c r="B3" s="831" t="str">
        <f>"入札参加資格審査申請書　【" &amp; P業種 &amp; "】"</f>
        <v>入札参加資格審査申請書　【測量・建設コンサルタント】</v>
      </c>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831"/>
      <c r="AV3" s="831"/>
      <c r="AW3" s="831"/>
      <c r="AX3" s="831"/>
      <c r="AY3" s="831"/>
      <c r="AZ3" s="831"/>
      <c r="BA3" s="831"/>
    </row>
    <row r="4" spans="1:55" ht="5.0999999999999996" customHeight="1"/>
    <row r="5" spans="1:55" ht="50.1" customHeight="1">
      <c r="B5" s="832" t="str">
        <f>"　" &amp; P対象年度 &amp; "において、" &amp; P市町村名 &amp; "の測量・建設コンサルタント業務等に係る競争入札に参加したいので、指定の書類を添えて、入札参加資格の審査を申請します。" &amp; CHAR(10) &amp; "　なお、この申請書及び添付書類の内容については、事実と相違しないことを誓約します。"</f>
        <v>　平成31・32年度において、さぬき市の測量・建設コンサルタント業務等に係る競争入札に参加したいので、指定の書類を添えて、入札参加資格の審査を申請します。
　なお、この申請書及び添付書類の内容については、事実と相違しないことを誓約します。</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c r="AH5" s="832"/>
      <c r="AI5" s="832"/>
      <c r="AJ5" s="832"/>
      <c r="AK5" s="832"/>
      <c r="AL5" s="832"/>
      <c r="AM5" s="832"/>
      <c r="AN5" s="832"/>
      <c r="AO5" s="832"/>
      <c r="AP5" s="832"/>
      <c r="AQ5" s="832"/>
      <c r="AR5" s="832"/>
      <c r="AS5" s="832"/>
      <c r="AT5" s="832"/>
      <c r="AU5" s="832"/>
      <c r="AV5" s="832"/>
      <c r="AW5" s="832"/>
      <c r="AX5" s="832"/>
      <c r="AY5" s="832"/>
      <c r="AZ5" s="832"/>
      <c r="BA5" s="832"/>
    </row>
    <row r="6" spans="1:55" ht="5.0999999999999996" customHeight="1">
      <c r="C6" s="115"/>
      <c r="D6" s="115"/>
      <c r="E6" s="115"/>
      <c r="F6" s="115"/>
      <c r="G6" s="115"/>
      <c r="H6" s="115"/>
      <c r="I6" s="115"/>
      <c r="J6" s="115"/>
      <c r="K6" s="115"/>
      <c r="L6" s="115"/>
      <c r="M6" s="115"/>
      <c r="N6" s="115"/>
      <c r="O6" s="115"/>
      <c r="P6" s="115"/>
      <c r="Q6" s="115"/>
      <c r="R6" s="115"/>
      <c r="S6" s="115"/>
      <c r="T6" s="115"/>
      <c r="U6" s="115"/>
      <c r="V6" s="115"/>
      <c r="W6" s="115"/>
      <c r="X6" s="115"/>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row>
    <row r="7" spans="1:55" ht="20.100000000000001" customHeight="1">
      <c r="C7" s="115"/>
      <c r="D7" s="115"/>
      <c r="E7" s="115"/>
      <c r="F7" s="117" t="str">
        <f>P市町村名 &amp; "長　様"</f>
        <v>さぬき市長　様</v>
      </c>
      <c r="G7" s="115"/>
      <c r="H7" s="115"/>
      <c r="I7" s="115"/>
      <c r="J7" s="115"/>
      <c r="K7" s="115"/>
      <c r="L7" s="115"/>
      <c r="M7" s="115"/>
      <c r="N7" s="115"/>
      <c r="O7" s="115"/>
      <c r="P7" s="115"/>
      <c r="Q7" s="115"/>
      <c r="R7" s="115"/>
      <c r="S7" s="115"/>
      <c r="T7" s="115"/>
      <c r="U7" s="115"/>
      <c r="V7" s="115"/>
      <c r="W7" s="115"/>
      <c r="X7" s="115"/>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row>
    <row r="8" spans="1:55" ht="5.0999999999999996" customHeight="1">
      <c r="C8" s="115"/>
      <c r="D8" s="115"/>
      <c r="E8" s="115"/>
      <c r="F8" s="115"/>
      <c r="G8" s="115"/>
      <c r="H8" s="115"/>
      <c r="I8" s="115"/>
      <c r="J8" s="115"/>
      <c r="K8" s="115"/>
      <c r="L8" s="115"/>
      <c r="M8" s="115"/>
      <c r="N8" s="115"/>
      <c r="O8" s="115"/>
      <c r="P8" s="115"/>
      <c r="Q8" s="115"/>
      <c r="R8" s="115"/>
      <c r="S8" s="115"/>
      <c r="T8" s="115"/>
      <c r="U8" s="115"/>
      <c r="V8" s="115"/>
      <c r="W8" s="115"/>
      <c r="X8" s="115"/>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row>
    <row r="9" spans="1:55" ht="15" customHeight="1" thickBot="1">
      <c r="C9" s="115"/>
      <c r="D9" s="115"/>
      <c r="E9" s="115"/>
      <c r="F9" s="115"/>
      <c r="G9" s="115"/>
      <c r="H9" s="115"/>
      <c r="I9" s="115"/>
      <c r="J9" s="115"/>
      <c r="K9" s="115"/>
      <c r="L9" s="115"/>
      <c r="M9" s="115"/>
      <c r="N9" s="115"/>
      <c r="O9" s="115"/>
      <c r="P9" s="115"/>
      <c r="Q9" s="115"/>
      <c r="R9" s="115"/>
      <c r="S9" s="115"/>
      <c r="T9" s="115"/>
      <c r="U9" s="115"/>
      <c r="V9" s="115"/>
      <c r="W9" s="115"/>
      <c r="X9" s="115"/>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row>
    <row r="10" spans="1:55" s="120" customFormat="1" ht="20.100000000000001" customHeight="1" thickTop="1" thickBot="1">
      <c r="A10" s="118"/>
      <c r="B10" s="118"/>
      <c r="C10" s="800" t="s">
        <v>222</v>
      </c>
      <c r="D10" s="801"/>
      <c r="E10" s="801"/>
      <c r="F10" s="801"/>
      <c r="G10" s="801"/>
      <c r="H10" s="801"/>
      <c r="I10" s="801"/>
      <c r="J10" s="801"/>
      <c r="K10" s="802"/>
      <c r="L10" s="119"/>
      <c r="BB10" s="121"/>
      <c r="BC10" s="121"/>
    </row>
    <row r="11" spans="1:55" s="120" customFormat="1" ht="9.9499999999999993" customHeight="1" thickTop="1">
      <c r="A11" s="118"/>
      <c r="B11" s="118"/>
      <c r="C11" s="122"/>
      <c r="D11" s="122"/>
      <c r="E11" s="122"/>
      <c r="F11" s="122"/>
      <c r="G11" s="122"/>
      <c r="H11" s="122"/>
      <c r="I11" s="122"/>
      <c r="J11" s="122"/>
      <c r="K11" s="122"/>
      <c r="L11" s="119"/>
      <c r="M11" s="834" t="str">
        <f xml:space="preserve"> "" &amp; 本社名称カナ</f>
        <v/>
      </c>
      <c r="N11" s="835"/>
      <c r="O11" s="835"/>
      <c r="P11" s="835"/>
      <c r="Q11" s="835"/>
      <c r="R11" s="835"/>
      <c r="S11" s="835"/>
      <c r="T11" s="835"/>
      <c r="U11" s="835"/>
      <c r="V11" s="835"/>
      <c r="W11" s="835"/>
      <c r="X11" s="835"/>
      <c r="Y11" s="835"/>
      <c r="Z11" s="835"/>
      <c r="AA11" s="835"/>
      <c r="AB11" s="835"/>
      <c r="AC11" s="835"/>
      <c r="AD11" s="835"/>
      <c r="AE11" s="835"/>
      <c r="AF11" s="835"/>
      <c r="AG11" s="835"/>
      <c r="AH11" s="835"/>
      <c r="AI11" s="835"/>
      <c r="AJ11" s="835"/>
      <c r="AK11" s="835"/>
      <c r="AL11" s="835"/>
      <c r="AM11" s="835"/>
      <c r="AN11" s="835"/>
      <c r="AO11" s="835"/>
      <c r="AP11" s="835"/>
      <c r="AQ11" s="835"/>
      <c r="AR11" s="835"/>
      <c r="AS11" s="835"/>
      <c r="AT11" s="835"/>
      <c r="AU11" s="835"/>
      <c r="AV11" s="835"/>
      <c r="AW11" s="835"/>
      <c r="AX11" s="835"/>
      <c r="AY11" s="835"/>
      <c r="AZ11" s="835"/>
      <c r="BA11" s="835"/>
      <c r="BB11" s="121"/>
      <c r="BC11" s="121"/>
    </row>
    <row r="12" spans="1:55" s="120" customFormat="1" ht="12.95" customHeight="1">
      <c r="A12" s="118"/>
      <c r="B12" s="118"/>
      <c r="C12" s="816" t="s">
        <v>223</v>
      </c>
      <c r="D12" s="816"/>
      <c r="E12" s="816"/>
      <c r="F12" s="816"/>
      <c r="G12" s="816"/>
      <c r="H12" s="816"/>
      <c r="I12" s="816"/>
      <c r="J12" s="816"/>
      <c r="K12" s="816"/>
      <c r="L12" s="119"/>
      <c r="M12" s="836" t="str">
        <f xml:space="preserve"> "" &amp; 本社名称</f>
        <v/>
      </c>
      <c r="N12" s="824"/>
      <c r="O12" s="824"/>
      <c r="P12" s="824"/>
      <c r="Q12" s="824"/>
      <c r="R12" s="824"/>
      <c r="S12" s="824"/>
      <c r="T12" s="824"/>
      <c r="U12" s="824"/>
      <c r="V12" s="824"/>
      <c r="W12" s="824"/>
      <c r="X12" s="824"/>
      <c r="Y12" s="824"/>
      <c r="Z12" s="824"/>
      <c r="AA12" s="824"/>
      <c r="AB12" s="824"/>
      <c r="AC12" s="824"/>
      <c r="AD12" s="824"/>
      <c r="AE12" s="824"/>
      <c r="AF12" s="824"/>
      <c r="AG12" s="824"/>
      <c r="AH12" s="824"/>
      <c r="AI12" s="824"/>
      <c r="AJ12" s="824"/>
      <c r="AK12" s="824"/>
      <c r="AL12" s="824"/>
      <c r="AM12" s="824"/>
      <c r="AN12" s="824"/>
      <c r="AO12" s="824"/>
      <c r="AP12" s="824"/>
      <c r="AQ12" s="824"/>
      <c r="AR12" s="824"/>
      <c r="AS12" s="824"/>
      <c r="AT12" s="824"/>
      <c r="AU12" s="824"/>
      <c r="AV12" s="824"/>
      <c r="AW12" s="824"/>
      <c r="AX12" s="824"/>
      <c r="AY12" s="824"/>
      <c r="AZ12" s="824"/>
      <c r="BA12" s="824"/>
      <c r="BB12" s="121"/>
      <c r="BC12" s="121"/>
    </row>
    <row r="13" spans="1:55" s="120" customFormat="1" ht="3" customHeight="1">
      <c r="A13" s="118"/>
      <c r="B13" s="118"/>
      <c r="C13" s="123"/>
      <c r="D13" s="123"/>
      <c r="E13" s="123"/>
      <c r="F13" s="123"/>
      <c r="G13" s="123"/>
      <c r="H13" s="123"/>
      <c r="I13" s="123"/>
      <c r="J13" s="123"/>
      <c r="K13" s="123"/>
      <c r="L13" s="119"/>
      <c r="M13" s="124"/>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1"/>
      <c r="BC13" s="121"/>
    </row>
    <row r="14" spans="1:55" s="120" customFormat="1" ht="18" customHeight="1">
      <c r="A14" s="118"/>
      <c r="B14" s="118"/>
      <c r="C14" s="816" t="s">
        <v>224</v>
      </c>
      <c r="D14" s="816"/>
      <c r="E14" s="816"/>
      <c r="F14" s="816"/>
      <c r="G14" s="816"/>
      <c r="H14" s="816"/>
      <c r="I14" s="816"/>
      <c r="J14" s="816"/>
      <c r="K14" s="816"/>
      <c r="L14" s="119"/>
      <c r="M14" s="818" t="str">
        <f>"" &amp; 個人法人区分</f>
        <v/>
      </c>
      <c r="N14" s="818"/>
      <c r="O14" s="818"/>
      <c r="P14" s="818"/>
      <c r="Q14" s="818"/>
      <c r="R14" s="818"/>
      <c r="S14" s="818"/>
      <c r="T14" s="818"/>
      <c r="U14" s="818"/>
      <c r="V14" s="818"/>
      <c r="W14" s="818"/>
      <c r="X14" s="818"/>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1"/>
      <c r="BC14" s="121"/>
    </row>
    <row r="15" spans="1:55" s="120" customFormat="1" ht="3" customHeight="1">
      <c r="A15" s="118"/>
      <c r="B15" s="118"/>
      <c r="C15" s="123"/>
      <c r="D15" s="123"/>
      <c r="E15" s="123"/>
      <c r="F15" s="123"/>
      <c r="G15" s="123"/>
      <c r="H15" s="123"/>
      <c r="I15" s="123"/>
      <c r="J15" s="123"/>
      <c r="K15" s="123"/>
      <c r="L15" s="119"/>
      <c r="M15" s="124"/>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1"/>
      <c r="BC15" s="121"/>
    </row>
    <row r="16" spans="1:55" s="120" customFormat="1" ht="9.9499999999999993" customHeight="1">
      <c r="A16" s="118"/>
      <c r="B16" s="118"/>
      <c r="W16" s="119"/>
      <c r="X16" s="823" t="str">
        <f>"" &amp; 本社代表者氏名カナ</f>
        <v/>
      </c>
      <c r="Y16" s="823"/>
      <c r="Z16" s="823"/>
      <c r="AA16" s="823"/>
      <c r="AB16" s="823"/>
      <c r="AC16" s="823"/>
      <c r="AD16" s="823"/>
      <c r="AE16" s="823"/>
      <c r="AF16" s="823"/>
      <c r="AG16" s="823"/>
      <c r="AH16" s="823"/>
      <c r="AI16" s="823"/>
      <c r="AJ16" s="823"/>
      <c r="AK16" s="823"/>
      <c r="AL16" s="823"/>
      <c r="AM16" s="823"/>
      <c r="AN16" s="823"/>
      <c r="AO16" s="823"/>
      <c r="AP16" s="823"/>
      <c r="AQ16" s="823"/>
      <c r="AR16" s="823"/>
      <c r="AS16" s="823"/>
      <c r="AT16" s="823"/>
      <c r="AU16" s="823"/>
      <c r="AV16" s="823"/>
      <c r="AW16" s="823"/>
      <c r="AX16" s="823"/>
      <c r="AY16" s="823"/>
      <c r="AZ16" s="823"/>
      <c r="BA16" s="823"/>
      <c r="BB16" s="121"/>
      <c r="BC16" s="121"/>
    </row>
    <row r="17" spans="1:55" s="120" customFormat="1" ht="12.95" customHeight="1">
      <c r="A17" s="118"/>
      <c r="B17" s="118"/>
      <c r="C17" s="816" t="s">
        <v>225</v>
      </c>
      <c r="D17" s="816"/>
      <c r="E17" s="816"/>
      <c r="F17" s="816"/>
      <c r="G17" s="816"/>
      <c r="H17" s="816"/>
      <c r="I17" s="816"/>
      <c r="J17" s="816"/>
      <c r="K17" s="816"/>
      <c r="L17" s="119"/>
      <c r="M17" s="818" t="str">
        <f>"" &amp; 本社代表者職名</f>
        <v/>
      </c>
      <c r="N17" s="818"/>
      <c r="O17" s="818"/>
      <c r="P17" s="818"/>
      <c r="Q17" s="818"/>
      <c r="R17" s="818"/>
      <c r="S17" s="818"/>
      <c r="T17" s="818"/>
      <c r="U17" s="818"/>
      <c r="V17" s="818"/>
      <c r="W17" s="126"/>
      <c r="X17" s="818" t="str">
        <f>"" &amp; 本社代表者氏名</f>
        <v/>
      </c>
      <c r="Y17" s="818"/>
      <c r="Z17" s="818"/>
      <c r="AA17" s="818"/>
      <c r="AB17" s="818"/>
      <c r="AC17" s="818"/>
      <c r="AD17" s="818"/>
      <c r="AE17" s="818"/>
      <c r="AF17" s="818"/>
      <c r="AG17" s="818"/>
      <c r="AH17" s="818"/>
      <c r="AI17" s="818"/>
      <c r="AJ17" s="818"/>
      <c r="AK17" s="818"/>
      <c r="AL17" s="818"/>
      <c r="AM17" s="818"/>
      <c r="AN17" s="818"/>
      <c r="AO17" s="818"/>
      <c r="AP17" s="818"/>
      <c r="AQ17" s="818"/>
      <c r="AR17" s="818"/>
      <c r="AS17" s="818"/>
      <c r="AT17" s="818"/>
      <c r="AU17" s="818"/>
      <c r="AV17" s="818"/>
      <c r="AW17" s="818"/>
      <c r="AX17" s="818"/>
      <c r="AY17" s="818"/>
      <c r="AZ17" s="818"/>
      <c r="BA17" s="818"/>
      <c r="BB17" s="121"/>
      <c r="BC17" s="121"/>
    </row>
    <row r="18" spans="1:55" s="120" customFormat="1" ht="3" customHeight="1">
      <c r="A18" s="118"/>
      <c r="B18" s="118"/>
      <c r="C18" s="123"/>
      <c r="D18" s="123"/>
      <c r="E18" s="123"/>
      <c r="F18" s="123"/>
      <c r="G18" s="123"/>
      <c r="H18" s="123"/>
      <c r="I18" s="123"/>
      <c r="J18" s="123"/>
      <c r="K18" s="123"/>
      <c r="L18" s="119"/>
      <c r="M18" s="124"/>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1"/>
      <c r="BC18" s="121"/>
    </row>
    <row r="19" spans="1:55" s="120" customFormat="1" ht="18" customHeight="1">
      <c r="A19" s="118"/>
      <c r="B19" s="118"/>
      <c r="C19" s="816" t="s">
        <v>226</v>
      </c>
      <c r="D19" s="816"/>
      <c r="E19" s="816"/>
      <c r="F19" s="816"/>
      <c r="G19" s="816"/>
      <c r="H19" s="816"/>
      <c r="I19" s="816"/>
      <c r="J19" s="816"/>
      <c r="K19" s="816"/>
      <c r="L19" s="119"/>
      <c r="M19" s="818" t="s">
        <v>227</v>
      </c>
      <c r="N19" s="818"/>
      <c r="O19" s="818" t="str">
        <f xml:space="preserve"> IF(ISBLANK(本社郵便), "", TEXT(本社郵便, "000-0000"))</f>
        <v/>
      </c>
      <c r="P19" s="818"/>
      <c r="Q19" s="818"/>
      <c r="R19" s="818"/>
      <c r="S19" s="818"/>
      <c r="T19" s="126"/>
      <c r="U19" s="818" t="str">
        <f xml:space="preserve"> "" &amp; 本社所在地</f>
        <v/>
      </c>
      <c r="V19" s="818"/>
      <c r="W19" s="818"/>
      <c r="X19" s="818"/>
      <c r="Y19" s="818"/>
      <c r="Z19" s="818"/>
      <c r="AA19" s="818"/>
      <c r="AB19" s="818"/>
      <c r="AC19" s="818"/>
      <c r="AD19" s="818"/>
      <c r="AE19" s="818"/>
      <c r="AF19" s="818"/>
      <c r="AG19" s="818"/>
      <c r="AH19" s="818"/>
      <c r="AI19" s="818"/>
      <c r="AJ19" s="818"/>
      <c r="AK19" s="818"/>
      <c r="AL19" s="818"/>
      <c r="AM19" s="818"/>
      <c r="AN19" s="818"/>
      <c r="AO19" s="818"/>
      <c r="AP19" s="818"/>
      <c r="AQ19" s="818"/>
      <c r="AR19" s="818"/>
      <c r="AS19" s="818"/>
      <c r="AT19" s="818"/>
      <c r="AU19" s="818"/>
      <c r="AV19" s="818"/>
      <c r="AW19" s="818"/>
      <c r="AX19" s="818"/>
      <c r="AY19" s="818"/>
      <c r="AZ19" s="818"/>
      <c r="BA19" s="818"/>
      <c r="BB19" s="825"/>
      <c r="BC19" s="121"/>
    </row>
    <row r="20" spans="1:55" s="120" customFormat="1" ht="3" customHeight="1">
      <c r="A20" s="118"/>
      <c r="B20" s="118"/>
      <c r="C20" s="123"/>
      <c r="D20" s="123"/>
      <c r="E20" s="123"/>
      <c r="F20" s="123"/>
      <c r="G20" s="123"/>
      <c r="H20" s="123"/>
      <c r="I20" s="123"/>
      <c r="J20" s="123"/>
      <c r="K20" s="123"/>
      <c r="L20" s="119"/>
      <c r="M20" s="124"/>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18"/>
      <c r="BC20" s="121"/>
    </row>
    <row r="21" spans="1:55" s="120" customFormat="1" ht="18" customHeight="1">
      <c r="A21" s="118"/>
      <c r="B21" s="118"/>
      <c r="C21" s="816" t="s">
        <v>228</v>
      </c>
      <c r="D21" s="816"/>
      <c r="E21" s="816"/>
      <c r="F21" s="816"/>
      <c r="G21" s="816"/>
      <c r="H21" s="816"/>
      <c r="I21" s="816"/>
      <c r="J21" s="816"/>
      <c r="K21" s="816"/>
      <c r="L21" s="119"/>
      <c r="M21" s="818" t="str">
        <f>"" &amp; 本社TEL</f>
        <v/>
      </c>
      <c r="N21" s="818"/>
      <c r="O21" s="818"/>
      <c r="P21" s="818"/>
      <c r="Q21" s="818"/>
      <c r="R21" s="818"/>
      <c r="S21" s="818"/>
      <c r="T21" s="818"/>
      <c r="U21" s="818"/>
      <c r="V21" s="818"/>
      <c r="W21" s="818"/>
      <c r="X21" s="818"/>
      <c r="Y21" s="127"/>
      <c r="Z21" s="819" t="s">
        <v>229</v>
      </c>
      <c r="AA21" s="819"/>
      <c r="AB21" s="819"/>
      <c r="AC21" s="819"/>
      <c r="AD21" s="819"/>
      <c r="AE21" s="819"/>
      <c r="AF21" s="819"/>
      <c r="AG21" s="819"/>
      <c r="AH21" s="127"/>
      <c r="AI21" s="818" t="str">
        <f>"" &amp; 本社FAX</f>
        <v/>
      </c>
      <c r="AJ21" s="818"/>
      <c r="AK21" s="818"/>
      <c r="AL21" s="818"/>
      <c r="AM21" s="818"/>
      <c r="AN21" s="818"/>
      <c r="AO21" s="818"/>
      <c r="AP21" s="818"/>
      <c r="AQ21" s="818"/>
      <c r="AR21" s="818"/>
      <c r="AS21" s="818"/>
      <c r="AT21" s="818"/>
    </row>
    <row r="22" spans="1:55" s="120" customFormat="1" ht="9.9499999999999993" customHeight="1">
      <c r="A22" s="118"/>
      <c r="B22" s="118"/>
      <c r="C22" s="123"/>
      <c r="D22" s="123"/>
      <c r="E22" s="123"/>
      <c r="F22" s="123"/>
      <c r="G22" s="123"/>
      <c r="H22" s="123"/>
      <c r="I22" s="123"/>
      <c r="J22" s="123"/>
      <c r="K22" s="123"/>
      <c r="L22" s="119"/>
      <c r="M22" s="119"/>
      <c r="N22" s="119"/>
      <c r="O22" s="119"/>
      <c r="P22" s="119"/>
      <c r="Q22" s="119"/>
      <c r="R22" s="119"/>
      <c r="S22" s="119"/>
      <c r="T22" s="119"/>
      <c r="U22" s="119"/>
      <c r="V22" s="119"/>
      <c r="W22" s="119"/>
      <c r="X22" s="119"/>
      <c r="Y22" s="127"/>
      <c r="Z22" s="127"/>
      <c r="AA22" s="128"/>
      <c r="AB22" s="128"/>
      <c r="AC22" s="128"/>
      <c r="AD22" s="128"/>
      <c r="AE22" s="128"/>
      <c r="AF22" s="128"/>
      <c r="AG22" s="128"/>
      <c r="AH22" s="128"/>
      <c r="AI22" s="127"/>
      <c r="AJ22" s="119"/>
      <c r="AK22" s="119"/>
      <c r="AL22" s="119"/>
      <c r="AM22" s="119"/>
      <c r="AN22" s="119"/>
      <c r="AO22" s="119"/>
      <c r="AP22" s="119"/>
      <c r="AQ22" s="119"/>
      <c r="AR22" s="119"/>
      <c r="AS22" s="119"/>
      <c r="AT22" s="119"/>
      <c r="AU22" s="119"/>
      <c r="AV22" s="127"/>
      <c r="AW22" s="127"/>
      <c r="AX22" s="127"/>
      <c r="AY22" s="127"/>
      <c r="AZ22" s="127"/>
      <c r="BA22" s="127"/>
      <c r="BB22" s="121"/>
      <c r="BC22" s="121"/>
    </row>
    <row r="23" spans="1:55" s="120" customFormat="1" ht="18" customHeight="1">
      <c r="A23" s="118"/>
      <c r="B23" s="118"/>
      <c r="C23" s="816" t="s">
        <v>230</v>
      </c>
      <c r="D23" s="816"/>
      <c r="E23" s="816"/>
      <c r="F23" s="816"/>
      <c r="G23" s="816"/>
      <c r="H23" s="816"/>
      <c r="I23" s="816"/>
      <c r="J23" s="816"/>
      <c r="K23" s="816"/>
      <c r="L23" s="119"/>
      <c r="M23" s="383"/>
      <c r="N23" s="383"/>
      <c r="O23" s="828">
        <f>営業年数</f>
        <v>0</v>
      </c>
      <c r="P23" s="828"/>
      <c r="Q23" s="828"/>
      <c r="R23" s="828"/>
      <c r="S23" s="828"/>
      <c r="T23" s="828"/>
      <c r="U23" s="828"/>
      <c r="V23" s="382"/>
      <c r="W23" s="829" t="s">
        <v>411</v>
      </c>
      <c r="X23" s="829"/>
      <c r="Y23" s="127"/>
    </row>
    <row r="24" spans="1:55" s="120" customFormat="1" ht="3" customHeight="1">
      <c r="A24" s="118"/>
      <c r="B24" s="118"/>
      <c r="C24" s="123"/>
      <c r="D24" s="123"/>
      <c r="E24" s="123"/>
      <c r="F24" s="123"/>
      <c r="G24" s="123"/>
      <c r="H24" s="123"/>
      <c r="I24" s="123"/>
      <c r="J24" s="123"/>
      <c r="K24" s="123"/>
      <c r="L24" s="119"/>
      <c r="M24" s="124"/>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1"/>
      <c r="BC24" s="121"/>
    </row>
    <row r="25" spans="1:55" s="120" customFormat="1" ht="18" customHeight="1">
      <c r="A25" s="118"/>
      <c r="B25" s="118"/>
      <c r="C25" s="816" t="s">
        <v>231</v>
      </c>
      <c r="D25" s="816"/>
      <c r="E25" s="816"/>
      <c r="F25" s="816"/>
      <c r="G25" s="816"/>
      <c r="H25" s="816"/>
      <c r="I25" s="816"/>
      <c r="J25" s="816"/>
      <c r="K25" s="816"/>
      <c r="L25" s="119"/>
      <c r="M25" s="824" t="str">
        <f>"" &amp; 法的再建手続</f>
        <v/>
      </c>
      <c r="N25" s="824"/>
      <c r="O25" s="824"/>
      <c r="P25" s="824"/>
      <c r="Q25" s="824"/>
      <c r="R25" s="824"/>
      <c r="S25" s="824"/>
      <c r="T25" s="824"/>
      <c r="U25" s="824"/>
      <c r="V25" s="824"/>
      <c r="W25" s="824"/>
      <c r="X25" s="824"/>
      <c r="Z25" s="825" t="s">
        <v>232</v>
      </c>
      <c r="AA25" s="825"/>
      <c r="AB25" s="825"/>
      <c r="AC25" s="825"/>
      <c r="AD25" s="826" t="str">
        <f>IF(法的申立日="","",TEXT(法的申立日,"ggge年m月d日"))</f>
        <v/>
      </c>
      <c r="AE25" s="826"/>
      <c r="AF25" s="826"/>
      <c r="AG25" s="826"/>
      <c r="AH25" s="826"/>
      <c r="AI25" s="826"/>
      <c r="AJ25" s="826"/>
      <c r="AK25" s="826"/>
      <c r="AL25" s="827" t="s">
        <v>233</v>
      </c>
      <c r="AM25" s="827"/>
      <c r="AN25" s="827"/>
      <c r="AO25" s="827"/>
      <c r="AP25" s="827"/>
      <c r="AQ25" s="827"/>
      <c r="AR25" s="827"/>
      <c r="AS25" s="119"/>
      <c r="AT25" s="826" t="str">
        <f>IF(法的計画認可日="","",TEXT(法的計画認可日,"ggge年m月d日"))</f>
        <v/>
      </c>
      <c r="AU25" s="826"/>
      <c r="AV25" s="826"/>
      <c r="AW25" s="826"/>
      <c r="AX25" s="826"/>
      <c r="AY25" s="826"/>
      <c r="AZ25" s="826"/>
      <c r="BA25" s="826"/>
      <c r="BC25" s="121"/>
    </row>
    <row r="26" spans="1:55" s="120" customFormat="1" ht="9.9499999999999993" customHeight="1">
      <c r="A26" s="118"/>
      <c r="B26" s="118"/>
      <c r="C26" s="123"/>
      <c r="D26" s="123"/>
      <c r="E26" s="123"/>
      <c r="F26" s="123"/>
      <c r="G26" s="123"/>
      <c r="H26" s="123"/>
      <c r="I26" s="123"/>
      <c r="J26" s="123"/>
      <c r="K26" s="123"/>
      <c r="L26" s="119"/>
      <c r="M26" s="119"/>
      <c r="N26" s="119"/>
      <c r="O26" s="119"/>
      <c r="P26" s="119"/>
      <c r="Q26" s="119"/>
      <c r="R26" s="119"/>
      <c r="S26" s="119"/>
      <c r="T26" s="119"/>
      <c r="U26" s="119"/>
      <c r="V26" s="119"/>
      <c r="W26" s="119"/>
      <c r="X26" s="119"/>
      <c r="Y26" s="127"/>
      <c r="Z26" s="127"/>
      <c r="AA26" s="128"/>
      <c r="AB26" s="128"/>
      <c r="AC26" s="128"/>
      <c r="AD26" s="128"/>
      <c r="AE26" s="128"/>
      <c r="AF26" s="128"/>
      <c r="AG26" s="128"/>
      <c r="AH26" s="128"/>
      <c r="AI26" s="127"/>
      <c r="AJ26" s="119"/>
      <c r="AK26" s="119"/>
      <c r="AL26" s="119"/>
      <c r="AM26" s="119"/>
      <c r="AN26" s="119"/>
      <c r="AO26" s="119"/>
      <c r="AP26" s="119"/>
      <c r="AQ26" s="119"/>
      <c r="AR26" s="119"/>
      <c r="AS26" s="119"/>
      <c r="AT26" s="119"/>
      <c r="AU26" s="119"/>
      <c r="AV26" s="127"/>
      <c r="AW26" s="127"/>
      <c r="AX26" s="127"/>
      <c r="AY26" s="127"/>
      <c r="AZ26" s="127"/>
      <c r="BA26" s="127"/>
      <c r="BB26" s="121"/>
      <c r="BC26" s="121"/>
    </row>
    <row r="27" spans="1:55" s="120" customFormat="1" ht="20.100000000000001" customHeight="1" thickBot="1">
      <c r="A27" s="118"/>
      <c r="B27" s="118"/>
      <c r="C27" s="129"/>
      <c r="D27" s="129"/>
      <c r="E27" s="129"/>
      <c r="F27" s="129"/>
      <c r="G27" s="129"/>
      <c r="H27" s="129"/>
      <c r="I27" s="129"/>
      <c r="J27" s="129"/>
      <c r="K27" s="129"/>
      <c r="L27" s="129"/>
      <c r="M27" s="129"/>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9"/>
      <c r="AK27" s="119"/>
      <c r="AL27" s="119"/>
      <c r="AM27" s="119"/>
      <c r="AN27" s="119"/>
      <c r="AO27" s="119"/>
      <c r="AP27" s="119"/>
      <c r="AQ27" s="119"/>
      <c r="AR27" s="119"/>
      <c r="AS27" s="119"/>
      <c r="AT27" s="119"/>
      <c r="AU27" s="119"/>
      <c r="AV27" s="127"/>
      <c r="AW27" s="127"/>
      <c r="AX27" s="127"/>
      <c r="AY27" s="127"/>
      <c r="AZ27" s="127"/>
      <c r="BA27" s="127"/>
      <c r="BB27" s="121"/>
      <c r="BC27" s="121"/>
    </row>
    <row r="28" spans="1:55" s="120" customFormat="1" ht="20.100000000000001" customHeight="1" thickTop="1" thickBot="1">
      <c r="A28" s="118"/>
      <c r="B28" s="118"/>
      <c r="C28" s="800" t="s">
        <v>234</v>
      </c>
      <c r="D28" s="801"/>
      <c r="E28" s="801"/>
      <c r="F28" s="801"/>
      <c r="G28" s="801"/>
      <c r="H28" s="801"/>
      <c r="I28" s="801"/>
      <c r="J28" s="801"/>
      <c r="K28" s="802"/>
      <c r="L28" s="130"/>
      <c r="M28" s="130"/>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9"/>
      <c r="AK28" s="119"/>
      <c r="AL28" s="119"/>
      <c r="AM28" s="119"/>
      <c r="AN28" s="119"/>
      <c r="AO28" s="119"/>
      <c r="AP28" s="119"/>
      <c r="AQ28" s="119"/>
      <c r="AR28" s="119"/>
      <c r="AS28" s="119"/>
      <c r="AT28" s="119"/>
      <c r="AU28" s="119"/>
      <c r="AV28" s="127"/>
      <c r="AW28" s="127"/>
      <c r="AX28" s="127"/>
      <c r="AY28" s="127"/>
      <c r="AZ28" s="127"/>
      <c r="BA28" s="127"/>
      <c r="BB28" s="121"/>
      <c r="BC28" s="121"/>
    </row>
    <row r="29" spans="1:55" s="120" customFormat="1" ht="18" customHeight="1" thickTop="1">
      <c r="A29" s="118"/>
      <c r="B29" s="118"/>
      <c r="C29" s="816" t="s">
        <v>235</v>
      </c>
      <c r="D29" s="816"/>
      <c r="E29" s="816"/>
      <c r="F29" s="816"/>
      <c r="G29" s="816"/>
      <c r="H29" s="816"/>
      <c r="I29" s="816"/>
      <c r="J29" s="816"/>
      <c r="K29" s="816"/>
      <c r="L29" s="119"/>
      <c r="M29" s="818" t="str">
        <f>"" &amp; 担当者部署</f>
        <v/>
      </c>
      <c r="N29" s="818"/>
      <c r="O29" s="818"/>
      <c r="P29" s="818"/>
      <c r="Q29" s="818"/>
      <c r="R29" s="818"/>
      <c r="S29" s="818"/>
      <c r="T29" s="818"/>
      <c r="U29" s="818"/>
      <c r="V29" s="818"/>
      <c r="W29" s="818"/>
      <c r="X29" s="818"/>
      <c r="Y29" s="818"/>
      <c r="Z29" s="818"/>
      <c r="AA29" s="818"/>
      <c r="AB29" s="818"/>
      <c r="AC29" s="818"/>
      <c r="AD29" s="818"/>
      <c r="AE29" s="818"/>
      <c r="AF29" s="818"/>
      <c r="AG29" s="818"/>
      <c r="AH29" s="818"/>
      <c r="AI29" s="818"/>
      <c r="AJ29" s="818"/>
      <c r="AK29" s="818"/>
      <c r="AL29" s="818"/>
      <c r="AM29" s="818"/>
      <c r="AN29" s="818"/>
      <c r="AO29" s="818"/>
      <c r="AP29" s="818"/>
      <c r="AQ29" s="818"/>
      <c r="AR29" s="818"/>
      <c r="AS29" s="818"/>
      <c r="AT29" s="818"/>
      <c r="AU29" s="818"/>
      <c r="AV29" s="818"/>
      <c r="AW29" s="818"/>
      <c r="AX29" s="818"/>
      <c r="AY29" s="818"/>
      <c r="AZ29" s="818"/>
      <c r="BA29" s="818"/>
      <c r="BB29" s="121"/>
      <c r="BC29" s="121"/>
    </row>
    <row r="30" spans="1:55" s="120" customFormat="1" ht="3" customHeight="1">
      <c r="A30" s="118"/>
      <c r="B30" s="118"/>
      <c r="C30" s="123"/>
      <c r="D30" s="123"/>
      <c r="E30" s="123"/>
      <c r="F30" s="123"/>
      <c r="G30" s="123"/>
      <c r="H30" s="123"/>
      <c r="I30" s="123"/>
      <c r="J30" s="123"/>
      <c r="K30" s="123"/>
      <c r="L30" s="119"/>
      <c r="M30" s="124"/>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1"/>
      <c r="BC30" s="121"/>
    </row>
    <row r="31" spans="1:55" s="120" customFormat="1" ht="9.9499999999999993" customHeight="1">
      <c r="A31" s="118"/>
      <c r="B31" s="118"/>
      <c r="C31" s="816"/>
      <c r="D31" s="816"/>
      <c r="E31" s="816"/>
      <c r="F31" s="816"/>
      <c r="G31" s="816"/>
      <c r="H31" s="816"/>
      <c r="I31" s="816"/>
      <c r="J31" s="816"/>
      <c r="K31" s="816"/>
      <c r="L31" s="119"/>
      <c r="M31" s="823" t="str">
        <f xml:space="preserve"> "" &amp; 担当者氏名カナ</f>
        <v/>
      </c>
      <c r="N31" s="823"/>
      <c r="O31" s="823"/>
      <c r="P31" s="823"/>
      <c r="Q31" s="823"/>
      <c r="R31" s="823"/>
      <c r="S31" s="823"/>
      <c r="T31" s="823"/>
      <c r="U31" s="823"/>
      <c r="V31" s="823"/>
      <c r="W31" s="823"/>
      <c r="X31" s="823"/>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1"/>
      <c r="BC31" s="121"/>
    </row>
    <row r="32" spans="1:55" s="120" customFormat="1" ht="12.95" customHeight="1">
      <c r="A32" s="118"/>
      <c r="B32" s="118"/>
      <c r="C32" s="816" t="s">
        <v>236</v>
      </c>
      <c r="D32" s="816"/>
      <c r="E32" s="816"/>
      <c r="F32" s="816"/>
      <c r="G32" s="816"/>
      <c r="H32" s="816"/>
      <c r="I32" s="816"/>
      <c r="J32" s="816"/>
      <c r="K32" s="816"/>
      <c r="L32" s="119"/>
      <c r="M32" s="818" t="str">
        <f>"" &amp; 担当者氏名</f>
        <v/>
      </c>
      <c r="N32" s="818"/>
      <c r="O32" s="818"/>
      <c r="P32" s="818"/>
      <c r="Q32" s="818"/>
      <c r="R32" s="818"/>
      <c r="S32" s="818"/>
      <c r="T32" s="818"/>
      <c r="U32" s="818"/>
      <c r="V32" s="818"/>
      <c r="W32" s="818"/>
      <c r="X32" s="818"/>
      <c r="Y32" s="127"/>
    </row>
    <row r="33" spans="1:55" s="120" customFormat="1" ht="3" customHeight="1">
      <c r="A33" s="118"/>
      <c r="B33" s="118"/>
      <c r="C33" s="123"/>
      <c r="D33" s="123"/>
      <c r="E33" s="123"/>
      <c r="F33" s="123"/>
      <c r="G33" s="123"/>
      <c r="H33" s="123"/>
      <c r="I33" s="123"/>
      <c r="J33" s="123"/>
      <c r="K33" s="123"/>
      <c r="L33" s="119"/>
      <c r="M33" s="124"/>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1"/>
      <c r="BC33" s="121"/>
    </row>
    <row r="34" spans="1:55" s="120" customFormat="1" ht="18" customHeight="1">
      <c r="A34" s="118"/>
      <c r="B34" s="118"/>
      <c r="C34" s="816" t="s">
        <v>228</v>
      </c>
      <c r="D34" s="816"/>
      <c r="E34" s="816"/>
      <c r="F34" s="816"/>
      <c r="G34" s="816"/>
      <c r="H34" s="816"/>
      <c r="I34" s="816"/>
      <c r="J34" s="816"/>
      <c r="K34" s="816"/>
      <c r="L34" s="119"/>
      <c r="M34" s="818" t="str">
        <f>"" &amp; 担当者TEL</f>
        <v/>
      </c>
      <c r="N34" s="818"/>
      <c r="O34" s="818"/>
      <c r="P34" s="818"/>
      <c r="Q34" s="818"/>
      <c r="R34" s="818"/>
      <c r="S34" s="818"/>
      <c r="T34" s="818"/>
      <c r="U34" s="818"/>
      <c r="V34" s="818"/>
      <c r="W34" s="818"/>
      <c r="X34" s="818"/>
      <c r="Y34" s="127"/>
      <c r="Z34" s="819" t="s">
        <v>229</v>
      </c>
      <c r="AA34" s="819"/>
      <c r="AB34" s="819"/>
      <c r="AC34" s="819"/>
      <c r="AD34" s="819"/>
      <c r="AE34" s="819"/>
      <c r="AF34" s="819"/>
      <c r="AG34" s="819"/>
      <c r="AH34" s="127"/>
      <c r="AI34" s="818" t="str">
        <f>"" &amp; 担当者FAX</f>
        <v/>
      </c>
      <c r="AJ34" s="818"/>
      <c r="AK34" s="818"/>
      <c r="AL34" s="818"/>
      <c r="AM34" s="818"/>
      <c r="AN34" s="818"/>
      <c r="AO34" s="818"/>
      <c r="AP34" s="818"/>
      <c r="AQ34" s="818"/>
      <c r="AR34" s="818"/>
      <c r="AS34" s="818"/>
      <c r="AT34" s="818"/>
      <c r="BB34" s="121"/>
      <c r="BC34" s="121"/>
    </row>
    <row r="35" spans="1:55" s="120" customFormat="1" ht="3" customHeight="1">
      <c r="A35" s="118"/>
      <c r="B35" s="118"/>
      <c r="C35" s="123"/>
      <c r="D35" s="123"/>
      <c r="E35" s="123"/>
      <c r="F35" s="123"/>
      <c r="G35" s="123"/>
      <c r="H35" s="123"/>
      <c r="I35" s="123"/>
      <c r="J35" s="123"/>
      <c r="K35" s="123"/>
      <c r="L35" s="119"/>
      <c r="M35" s="124"/>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1"/>
      <c r="BC35" s="121"/>
    </row>
    <row r="36" spans="1:55" s="120" customFormat="1" ht="18" customHeight="1">
      <c r="A36" s="118"/>
      <c r="B36" s="118"/>
      <c r="C36" s="816" t="s">
        <v>237</v>
      </c>
      <c r="D36" s="816"/>
      <c r="E36" s="816"/>
      <c r="F36" s="816"/>
      <c r="G36" s="816"/>
      <c r="H36" s="816"/>
      <c r="I36" s="816"/>
      <c r="J36" s="816"/>
      <c r="K36" s="816"/>
      <c r="L36" s="119"/>
      <c r="M36" s="818" t="str">
        <f>"" &amp; 担当者アドレス</f>
        <v/>
      </c>
      <c r="N36" s="818"/>
      <c r="O36" s="818"/>
      <c r="P36" s="818"/>
      <c r="Q36" s="818"/>
      <c r="R36" s="818"/>
      <c r="S36" s="818"/>
      <c r="T36" s="818"/>
      <c r="U36" s="818"/>
      <c r="V36" s="818"/>
      <c r="W36" s="818"/>
      <c r="X36" s="818"/>
      <c r="Y36" s="818"/>
      <c r="Z36" s="818"/>
      <c r="AA36" s="818"/>
      <c r="AB36" s="818"/>
      <c r="AC36" s="818"/>
      <c r="AD36" s="818"/>
      <c r="AE36" s="818"/>
      <c r="AF36" s="818"/>
      <c r="AG36" s="818"/>
      <c r="AH36" s="818"/>
      <c r="AI36" s="818"/>
      <c r="AJ36" s="818"/>
      <c r="AK36" s="818"/>
      <c r="AL36" s="818"/>
      <c r="AM36" s="818"/>
      <c r="AN36" s="818"/>
      <c r="AO36" s="818"/>
      <c r="AP36" s="818"/>
      <c r="AQ36" s="818"/>
      <c r="AR36" s="818"/>
      <c r="AS36" s="818"/>
      <c r="AT36" s="818"/>
      <c r="AU36" s="818"/>
      <c r="AV36" s="818"/>
      <c r="AW36" s="818"/>
      <c r="AX36" s="818"/>
      <c r="AY36" s="818"/>
      <c r="AZ36" s="818"/>
      <c r="BA36" s="818"/>
      <c r="BB36" s="121"/>
      <c r="BC36" s="121"/>
    </row>
    <row r="37" spans="1:55" ht="18" customHeight="1" thickBot="1">
      <c r="C37" s="115"/>
      <c r="D37" s="115"/>
      <c r="E37" s="115"/>
      <c r="F37" s="115"/>
      <c r="G37" s="115"/>
      <c r="H37" s="115"/>
      <c r="I37" s="115"/>
      <c r="J37" s="115"/>
      <c r="K37" s="115"/>
      <c r="L37" s="115"/>
      <c r="M37" s="115"/>
      <c r="N37" s="115"/>
      <c r="O37" s="115"/>
      <c r="P37" s="115"/>
      <c r="Q37" s="115"/>
      <c r="R37" s="115"/>
      <c r="S37" s="115"/>
      <c r="T37" s="115"/>
      <c r="U37" s="115"/>
      <c r="V37" s="115"/>
      <c r="W37" s="115"/>
      <c r="X37" s="115"/>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row>
    <row r="38" spans="1:55" s="120" customFormat="1" ht="20.100000000000001" customHeight="1" thickTop="1" thickBot="1">
      <c r="A38" s="118"/>
      <c r="B38" s="118"/>
      <c r="C38" s="800" t="s">
        <v>238</v>
      </c>
      <c r="D38" s="801"/>
      <c r="E38" s="801"/>
      <c r="F38" s="801"/>
      <c r="G38" s="801"/>
      <c r="H38" s="801"/>
      <c r="I38" s="801"/>
      <c r="J38" s="801"/>
      <c r="K38" s="802"/>
      <c r="L38" s="130"/>
      <c r="M38" s="130"/>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9"/>
      <c r="AK38" s="119"/>
      <c r="AL38" s="119"/>
      <c r="AM38" s="119"/>
      <c r="AN38" s="119"/>
      <c r="AO38" s="119"/>
      <c r="AP38" s="119"/>
      <c r="AQ38" s="119"/>
      <c r="AR38" s="119"/>
      <c r="AS38" s="119"/>
      <c r="AT38" s="119"/>
      <c r="AU38" s="119"/>
      <c r="AV38" s="127"/>
      <c r="AW38" s="127"/>
      <c r="AX38" s="127"/>
      <c r="AY38" s="127"/>
      <c r="AZ38" s="127"/>
      <c r="BA38" s="127"/>
      <c r="BB38" s="121"/>
      <c r="BC38" s="121"/>
    </row>
    <row r="39" spans="1:55" ht="18" customHeight="1" thickTop="1">
      <c r="C39" s="816" t="s">
        <v>226</v>
      </c>
      <c r="D39" s="816"/>
      <c r="E39" s="816"/>
      <c r="F39" s="816"/>
      <c r="G39" s="816"/>
      <c r="H39" s="816"/>
      <c r="I39" s="816"/>
      <c r="J39" s="816"/>
      <c r="K39" s="816"/>
      <c r="L39" s="115"/>
      <c r="M39" s="818" t="s">
        <v>239</v>
      </c>
      <c r="N39" s="818"/>
      <c r="O39" s="787" t="str">
        <f xml:space="preserve"> IF(ISBLANK(委任先郵便), "", TEXT(委任先郵便, "000-0000"))</f>
        <v/>
      </c>
      <c r="P39" s="787"/>
      <c r="Q39" s="787"/>
      <c r="R39" s="787"/>
      <c r="S39" s="787"/>
      <c r="T39" s="131"/>
      <c r="U39" s="818" t="str">
        <f>"" &amp; 委任先所在地</f>
        <v/>
      </c>
      <c r="V39" s="818"/>
      <c r="W39" s="818"/>
      <c r="X39" s="818"/>
      <c r="Y39" s="818"/>
      <c r="Z39" s="818"/>
      <c r="AA39" s="818"/>
      <c r="AB39" s="818"/>
      <c r="AC39" s="818"/>
      <c r="AD39" s="818"/>
      <c r="AE39" s="818"/>
      <c r="AF39" s="818"/>
      <c r="AG39" s="818"/>
      <c r="AH39" s="818"/>
      <c r="AI39" s="818"/>
      <c r="AJ39" s="818"/>
      <c r="AK39" s="818"/>
      <c r="AL39" s="818"/>
      <c r="AM39" s="818"/>
      <c r="AN39" s="818"/>
      <c r="AO39" s="818"/>
      <c r="AP39" s="818"/>
      <c r="AQ39" s="818"/>
      <c r="AR39" s="818"/>
      <c r="AS39" s="818"/>
      <c r="AT39" s="818"/>
      <c r="AU39" s="818"/>
      <c r="AV39" s="818"/>
      <c r="AW39" s="818"/>
      <c r="AX39" s="818"/>
      <c r="AY39" s="818"/>
      <c r="AZ39" s="818"/>
      <c r="BA39" s="818"/>
      <c r="BB39" s="114"/>
    </row>
    <row r="40" spans="1:55" s="120" customFormat="1" ht="3" customHeight="1">
      <c r="A40" s="118"/>
      <c r="B40" s="118"/>
      <c r="C40" s="123"/>
      <c r="D40" s="123"/>
      <c r="E40" s="123"/>
      <c r="F40" s="123"/>
      <c r="G40" s="123"/>
      <c r="H40" s="123"/>
      <c r="I40" s="123"/>
      <c r="J40" s="123"/>
      <c r="K40" s="123"/>
      <c r="L40" s="119"/>
      <c r="M40" s="124"/>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1"/>
      <c r="BC40" s="121"/>
    </row>
    <row r="41" spans="1:55" ht="9.9499999999999993" customHeight="1">
      <c r="C41" s="821"/>
      <c r="D41" s="821"/>
      <c r="E41" s="821"/>
      <c r="F41" s="821"/>
      <c r="G41" s="821"/>
      <c r="H41" s="821"/>
      <c r="I41" s="821"/>
      <c r="J41" s="821"/>
      <c r="K41" s="821"/>
      <c r="L41" s="115"/>
      <c r="M41" s="822" t="str">
        <f>"" &amp; 委任先名称カナ</f>
        <v/>
      </c>
      <c r="N41" s="822"/>
      <c r="O41" s="822"/>
      <c r="P41" s="822"/>
      <c r="Q41" s="822"/>
      <c r="R41" s="822"/>
      <c r="S41" s="822"/>
      <c r="T41" s="822"/>
      <c r="U41" s="822"/>
      <c r="V41" s="822"/>
      <c r="W41" s="822"/>
      <c r="X41" s="822"/>
      <c r="Y41" s="822"/>
      <c r="Z41" s="822"/>
      <c r="AA41" s="822"/>
      <c r="AB41" s="822"/>
      <c r="AC41" s="822"/>
      <c r="AD41" s="822"/>
      <c r="AE41" s="822"/>
      <c r="AF41" s="822"/>
      <c r="AG41" s="822"/>
      <c r="AH41" s="822"/>
      <c r="AI41" s="822"/>
      <c r="AJ41" s="822"/>
      <c r="AK41" s="822"/>
      <c r="AL41" s="822"/>
      <c r="AM41" s="822"/>
      <c r="AN41" s="822"/>
      <c r="AO41" s="822"/>
      <c r="AP41" s="822"/>
      <c r="AQ41" s="822"/>
      <c r="AR41" s="822"/>
      <c r="AS41" s="822"/>
      <c r="AT41" s="822"/>
      <c r="AU41" s="822"/>
      <c r="AV41" s="822"/>
      <c r="AW41" s="822"/>
      <c r="AX41" s="822"/>
      <c r="AY41" s="822"/>
      <c r="AZ41" s="822"/>
      <c r="BA41" s="822"/>
      <c r="BB41" s="114"/>
    </row>
    <row r="42" spans="1:55" ht="12.95" customHeight="1">
      <c r="C42" s="816" t="s">
        <v>240</v>
      </c>
      <c r="D42" s="816"/>
      <c r="E42" s="816"/>
      <c r="F42" s="816"/>
      <c r="G42" s="816"/>
      <c r="H42" s="816"/>
      <c r="I42" s="816"/>
      <c r="J42" s="816"/>
      <c r="K42" s="816"/>
      <c r="L42" s="115"/>
      <c r="M42" s="787" t="str">
        <f>"" &amp; 委任先名称</f>
        <v/>
      </c>
      <c r="N42" s="787"/>
      <c r="O42" s="787"/>
      <c r="P42" s="787"/>
      <c r="Q42" s="787"/>
      <c r="R42" s="787"/>
      <c r="S42" s="787"/>
      <c r="T42" s="787"/>
      <c r="U42" s="787"/>
      <c r="V42" s="787"/>
      <c r="W42" s="787"/>
      <c r="X42" s="787"/>
      <c r="Y42" s="787"/>
      <c r="Z42" s="787"/>
      <c r="AA42" s="787"/>
      <c r="AB42" s="787"/>
      <c r="AC42" s="787"/>
      <c r="AD42" s="787"/>
      <c r="AE42" s="787"/>
      <c r="AF42" s="787"/>
      <c r="AG42" s="787"/>
      <c r="AH42" s="787"/>
      <c r="AI42" s="787"/>
      <c r="AJ42" s="787"/>
      <c r="AK42" s="787"/>
      <c r="AL42" s="787"/>
      <c r="AM42" s="787"/>
      <c r="AN42" s="787"/>
      <c r="AO42" s="787"/>
      <c r="AP42" s="787"/>
      <c r="AQ42" s="787"/>
      <c r="AR42" s="787"/>
      <c r="AS42" s="787"/>
      <c r="AT42" s="787"/>
      <c r="AU42" s="787"/>
      <c r="AV42" s="787"/>
      <c r="AW42" s="787"/>
      <c r="AX42" s="787"/>
      <c r="AY42" s="787"/>
      <c r="AZ42" s="787"/>
      <c r="BA42" s="787"/>
      <c r="BB42" s="114"/>
    </row>
    <row r="43" spans="1:55" s="120" customFormat="1" ht="3" customHeight="1">
      <c r="A43" s="118"/>
      <c r="B43" s="118"/>
      <c r="C43" s="123"/>
      <c r="D43" s="123"/>
      <c r="E43" s="123"/>
      <c r="F43" s="123"/>
      <c r="G43" s="123"/>
      <c r="H43" s="123"/>
      <c r="I43" s="123"/>
      <c r="J43" s="123"/>
      <c r="K43" s="123"/>
      <c r="L43" s="119"/>
      <c r="M43" s="124"/>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1"/>
      <c r="BC43" s="121"/>
    </row>
    <row r="44" spans="1:55" ht="9.9499999999999993" customHeight="1">
      <c r="C44" s="816"/>
      <c r="D44" s="816"/>
      <c r="E44" s="816"/>
      <c r="F44" s="816"/>
      <c r="G44" s="816"/>
      <c r="H44" s="816"/>
      <c r="I44" s="816"/>
      <c r="J44" s="816"/>
      <c r="K44" s="816"/>
      <c r="L44" s="115"/>
      <c r="M44" s="119"/>
      <c r="N44" s="119"/>
      <c r="O44" s="119"/>
      <c r="P44" s="119"/>
      <c r="Q44" s="119"/>
      <c r="R44" s="119"/>
      <c r="S44" s="119"/>
      <c r="T44" s="119"/>
      <c r="U44" s="119"/>
      <c r="V44" s="119"/>
      <c r="W44" s="119"/>
      <c r="X44" s="820" t="str">
        <f>"" &amp; 委任先代表者氏名カナ</f>
        <v/>
      </c>
      <c r="Y44" s="820"/>
      <c r="Z44" s="820"/>
      <c r="AA44" s="820"/>
      <c r="AB44" s="820"/>
      <c r="AC44" s="820"/>
      <c r="AD44" s="820"/>
      <c r="AE44" s="820"/>
      <c r="AF44" s="820"/>
      <c r="AG44" s="820"/>
      <c r="AH44" s="820"/>
      <c r="AI44" s="820"/>
      <c r="AJ44" s="820"/>
      <c r="AK44" s="820"/>
      <c r="AL44" s="820"/>
      <c r="AM44" s="820"/>
      <c r="AN44" s="820"/>
      <c r="AO44" s="820"/>
      <c r="AP44" s="820"/>
      <c r="AQ44" s="820"/>
      <c r="AR44" s="820"/>
      <c r="AS44" s="820"/>
      <c r="AT44" s="820"/>
      <c r="AU44" s="820"/>
      <c r="AV44" s="820"/>
      <c r="AW44" s="820"/>
      <c r="AX44" s="820"/>
      <c r="AY44" s="820"/>
      <c r="AZ44" s="820"/>
      <c r="BA44" s="820"/>
      <c r="BB44" s="114"/>
    </row>
    <row r="45" spans="1:55" ht="12.95" customHeight="1">
      <c r="C45" s="816" t="s">
        <v>418</v>
      </c>
      <c r="D45" s="816"/>
      <c r="E45" s="816"/>
      <c r="F45" s="816"/>
      <c r="G45" s="816"/>
      <c r="H45" s="816"/>
      <c r="I45" s="816"/>
      <c r="J45" s="816"/>
      <c r="K45" s="816"/>
      <c r="L45" s="115"/>
      <c r="M45" s="787" t="str">
        <f>"" &amp; 委任先代表者職名</f>
        <v/>
      </c>
      <c r="N45" s="787"/>
      <c r="O45" s="787"/>
      <c r="P45" s="787"/>
      <c r="Q45" s="787"/>
      <c r="R45" s="787"/>
      <c r="S45" s="787"/>
      <c r="T45" s="787"/>
      <c r="U45" s="787"/>
      <c r="V45" s="787"/>
      <c r="W45" s="126"/>
      <c r="X45" s="787" t="str">
        <f>"" &amp; 委任先代表者氏名</f>
        <v/>
      </c>
      <c r="Y45" s="787"/>
      <c r="Z45" s="787"/>
      <c r="AA45" s="787"/>
      <c r="AB45" s="787"/>
      <c r="AC45" s="787"/>
      <c r="AD45" s="787"/>
      <c r="AE45" s="787"/>
      <c r="AF45" s="787"/>
      <c r="AG45" s="787"/>
      <c r="AH45" s="787"/>
      <c r="AI45" s="787"/>
      <c r="AJ45" s="787"/>
      <c r="AK45" s="787"/>
      <c r="AL45" s="787"/>
      <c r="AM45" s="787"/>
      <c r="AN45" s="787"/>
      <c r="AO45" s="787"/>
      <c r="AP45" s="787"/>
      <c r="AQ45" s="787"/>
      <c r="AR45" s="787"/>
      <c r="AS45" s="787"/>
      <c r="AT45" s="787"/>
      <c r="AU45" s="787"/>
      <c r="AV45" s="787"/>
      <c r="AW45" s="787"/>
      <c r="AX45" s="787"/>
      <c r="AY45" s="787"/>
      <c r="AZ45" s="787"/>
      <c r="BA45" s="787"/>
      <c r="BB45" s="114"/>
    </row>
    <row r="46" spans="1:55" s="120" customFormat="1" ht="3" customHeight="1">
      <c r="A46" s="118"/>
      <c r="B46" s="118"/>
      <c r="C46" s="123"/>
      <c r="D46" s="123"/>
      <c r="E46" s="123"/>
      <c r="F46" s="123"/>
      <c r="G46" s="123"/>
      <c r="H46" s="123"/>
      <c r="I46" s="123"/>
      <c r="J46" s="123"/>
      <c r="K46" s="123"/>
      <c r="L46" s="119"/>
      <c r="M46" s="124"/>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1"/>
      <c r="BC46" s="121"/>
    </row>
    <row r="47" spans="1:55" ht="18" customHeight="1">
      <c r="C47" s="816" t="s">
        <v>228</v>
      </c>
      <c r="D47" s="816"/>
      <c r="E47" s="816"/>
      <c r="F47" s="816"/>
      <c r="G47" s="816"/>
      <c r="H47" s="816"/>
      <c r="I47" s="816"/>
      <c r="J47" s="816"/>
      <c r="K47" s="816"/>
      <c r="L47" s="115"/>
      <c r="M47" s="818" t="str">
        <f>"" &amp; 委任先TEL</f>
        <v/>
      </c>
      <c r="N47" s="818"/>
      <c r="O47" s="818"/>
      <c r="P47" s="818"/>
      <c r="Q47" s="818"/>
      <c r="R47" s="818"/>
      <c r="S47" s="818"/>
      <c r="T47" s="818"/>
      <c r="U47" s="818"/>
      <c r="V47" s="818"/>
      <c r="W47" s="818"/>
      <c r="X47" s="818"/>
      <c r="Y47" s="116"/>
      <c r="Z47" s="819" t="s">
        <v>229</v>
      </c>
      <c r="AA47" s="819"/>
      <c r="AB47" s="819"/>
      <c r="AC47" s="819"/>
      <c r="AD47" s="819"/>
      <c r="AE47" s="819"/>
      <c r="AF47" s="819"/>
      <c r="AG47" s="819"/>
      <c r="AH47" s="116"/>
      <c r="AI47" s="818" t="str">
        <f>"" &amp; 委任先FAX</f>
        <v/>
      </c>
      <c r="AJ47" s="818"/>
      <c r="AK47" s="818"/>
      <c r="AL47" s="818"/>
      <c r="AM47" s="818"/>
      <c r="AN47" s="818"/>
      <c r="AO47" s="818"/>
      <c r="AP47" s="818"/>
      <c r="AQ47" s="818"/>
      <c r="AR47" s="818"/>
      <c r="AS47" s="818"/>
      <c r="AT47" s="818"/>
      <c r="BB47" s="114"/>
    </row>
    <row r="48" spans="1:55" ht="18" customHeight="1" thickBot="1">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AU48" s="113"/>
      <c r="AV48" s="115"/>
      <c r="AW48" s="115"/>
      <c r="AX48" s="115"/>
      <c r="AY48" s="115"/>
      <c r="AZ48" s="115"/>
      <c r="BA48" s="115"/>
      <c r="BB48" s="114"/>
    </row>
    <row r="49" spans="1:101" s="120" customFormat="1" ht="20.100000000000001" customHeight="1" thickTop="1" thickBot="1">
      <c r="A49" s="118"/>
      <c r="B49" s="118"/>
      <c r="C49" s="800" t="s">
        <v>241</v>
      </c>
      <c r="D49" s="801"/>
      <c r="E49" s="801"/>
      <c r="F49" s="801"/>
      <c r="G49" s="801"/>
      <c r="H49" s="801"/>
      <c r="I49" s="801"/>
      <c r="J49" s="801"/>
      <c r="K49" s="802"/>
      <c r="L49" s="130"/>
      <c r="M49" s="130"/>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9"/>
      <c r="AK49" s="119"/>
      <c r="AL49" s="119"/>
      <c r="AM49" s="119"/>
      <c r="AN49" s="119"/>
      <c r="AO49" s="119"/>
      <c r="AP49" s="119"/>
      <c r="AQ49" s="119"/>
      <c r="AR49" s="119"/>
      <c r="AS49" s="119"/>
      <c r="AT49" s="119"/>
      <c r="AU49" s="119"/>
      <c r="AV49" s="127"/>
      <c r="AW49" s="127"/>
      <c r="AX49" s="127"/>
      <c r="AY49" s="127"/>
      <c r="AZ49" s="127"/>
      <c r="BA49" s="127"/>
      <c r="BB49" s="121"/>
      <c r="BC49" s="121"/>
    </row>
    <row r="50" spans="1:101" ht="18" customHeight="1" thickTop="1">
      <c r="C50" s="816" t="s">
        <v>226</v>
      </c>
      <c r="D50" s="816"/>
      <c r="E50" s="816"/>
      <c r="F50" s="816"/>
      <c r="G50" s="816"/>
      <c r="H50" s="816"/>
      <c r="I50" s="816"/>
      <c r="J50" s="816"/>
      <c r="K50" s="816"/>
      <c r="L50" s="132"/>
      <c r="M50" s="818" t="s">
        <v>239</v>
      </c>
      <c r="N50" s="818"/>
      <c r="O50" s="817" t="str">
        <f xml:space="preserve"> IF(ISBLANK(申請代理人郵便), "", TEXT(申請代理人郵便, "000-0000"))</f>
        <v/>
      </c>
      <c r="P50" s="817"/>
      <c r="Q50" s="817"/>
      <c r="R50" s="817"/>
      <c r="S50" s="817"/>
      <c r="T50" s="133"/>
      <c r="U50" s="817" t="str">
        <f>"" &amp; 申請代理人所在地</f>
        <v/>
      </c>
      <c r="V50" s="817"/>
      <c r="W50" s="817"/>
      <c r="X50" s="817"/>
      <c r="Y50" s="817"/>
      <c r="Z50" s="817"/>
      <c r="AA50" s="817"/>
      <c r="AB50" s="817"/>
      <c r="AC50" s="817"/>
      <c r="AD50" s="817"/>
      <c r="AE50" s="817"/>
      <c r="AF50" s="817"/>
      <c r="AG50" s="817"/>
      <c r="AH50" s="817"/>
      <c r="AI50" s="817"/>
      <c r="AJ50" s="817"/>
      <c r="AK50" s="817"/>
      <c r="AL50" s="817"/>
      <c r="AM50" s="817"/>
      <c r="AN50" s="817"/>
      <c r="AO50" s="817"/>
      <c r="AP50" s="817"/>
      <c r="AQ50" s="817"/>
      <c r="AR50" s="817"/>
      <c r="AS50" s="817"/>
      <c r="AT50" s="817"/>
      <c r="AU50" s="817"/>
      <c r="AV50" s="817"/>
      <c r="AW50" s="817"/>
      <c r="AX50" s="817"/>
      <c r="AY50" s="817"/>
      <c r="AZ50" s="817"/>
      <c r="BA50" s="817"/>
    </row>
    <row r="51" spans="1:101" s="120" customFormat="1" ht="3" customHeight="1">
      <c r="A51" s="118"/>
      <c r="B51" s="118"/>
      <c r="C51" s="123"/>
      <c r="D51" s="123"/>
      <c r="E51" s="123"/>
      <c r="F51" s="123"/>
      <c r="G51" s="123"/>
      <c r="H51" s="123"/>
      <c r="I51" s="123"/>
      <c r="J51" s="123"/>
      <c r="K51" s="123"/>
      <c r="L51" s="119"/>
      <c r="M51" s="124"/>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1"/>
      <c r="BC51" s="121"/>
    </row>
    <row r="52" spans="1:101" ht="9.9499999999999993" customHeight="1">
      <c r="C52" s="816"/>
      <c r="D52" s="816"/>
      <c r="E52" s="816"/>
      <c r="F52" s="816"/>
      <c r="G52" s="816"/>
      <c r="H52" s="816"/>
      <c r="I52" s="816"/>
      <c r="J52" s="816"/>
      <c r="K52" s="816"/>
      <c r="L52" s="115"/>
      <c r="M52" s="820" t="str">
        <f>"" &amp; 申請代理人氏名カナ</f>
        <v/>
      </c>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0"/>
      <c r="AO52" s="820"/>
      <c r="AP52" s="820"/>
      <c r="AQ52" s="820"/>
      <c r="AR52" s="820"/>
      <c r="AS52" s="820"/>
      <c r="AT52" s="820"/>
      <c r="AU52" s="820"/>
      <c r="AV52" s="820"/>
      <c r="AW52" s="820"/>
      <c r="AX52" s="820"/>
      <c r="AY52" s="820"/>
      <c r="AZ52" s="820"/>
      <c r="BA52" s="113"/>
      <c r="BB52" s="114"/>
      <c r="BC52" s="113"/>
    </row>
    <row r="53" spans="1:101" ht="12.95" customHeight="1">
      <c r="C53" s="816" t="s">
        <v>242</v>
      </c>
      <c r="D53" s="816"/>
      <c r="E53" s="816"/>
      <c r="F53" s="816"/>
      <c r="G53" s="816"/>
      <c r="H53" s="816"/>
      <c r="I53" s="816"/>
      <c r="J53" s="816"/>
      <c r="K53" s="816"/>
      <c r="L53" s="132"/>
      <c r="M53" s="817" t="str">
        <f>"" &amp;申請代理人氏名</f>
        <v/>
      </c>
      <c r="N53" s="817"/>
      <c r="O53" s="817"/>
      <c r="P53" s="817"/>
      <c r="Q53" s="817"/>
      <c r="R53" s="817"/>
      <c r="S53" s="817"/>
      <c r="T53" s="817"/>
      <c r="U53" s="817"/>
      <c r="V53" s="817"/>
      <c r="W53" s="817"/>
      <c r="X53" s="817"/>
      <c r="Y53" s="817"/>
      <c r="Z53" s="817"/>
      <c r="AA53" s="817"/>
      <c r="AB53" s="817"/>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17"/>
      <c r="AY53" s="817"/>
      <c r="AZ53" s="817"/>
      <c r="BA53" s="817"/>
    </row>
    <row r="54" spans="1:101" s="120" customFormat="1" ht="3" customHeight="1">
      <c r="A54" s="118"/>
      <c r="B54" s="118"/>
      <c r="C54" s="123"/>
      <c r="D54" s="123"/>
      <c r="E54" s="123"/>
      <c r="F54" s="123"/>
      <c r="G54" s="123"/>
      <c r="H54" s="123"/>
      <c r="I54" s="123"/>
      <c r="J54" s="123"/>
      <c r="K54" s="123"/>
      <c r="L54" s="119"/>
      <c r="M54" s="124"/>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1"/>
      <c r="BC54" s="121"/>
    </row>
    <row r="55" spans="1:101" s="120" customFormat="1" ht="18" customHeight="1">
      <c r="A55" s="118"/>
      <c r="B55" s="118"/>
      <c r="C55" s="816" t="s">
        <v>228</v>
      </c>
      <c r="D55" s="816"/>
      <c r="E55" s="816"/>
      <c r="F55" s="816"/>
      <c r="G55" s="816"/>
      <c r="H55" s="816"/>
      <c r="I55" s="816"/>
      <c r="J55" s="816"/>
      <c r="K55" s="816"/>
      <c r="L55" s="119"/>
      <c r="M55" s="818" t="str">
        <f>"" &amp; 申請代理人TEL</f>
        <v/>
      </c>
      <c r="N55" s="818"/>
      <c r="O55" s="818"/>
      <c r="P55" s="818"/>
      <c r="Q55" s="818"/>
      <c r="R55" s="818"/>
      <c r="S55" s="818"/>
      <c r="T55" s="818"/>
      <c r="U55" s="818"/>
      <c r="V55" s="818"/>
      <c r="W55" s="818"/>
      <c r="X55" s="818"/>
      <c r="Y55" s="127"/>
      <c r="Z55" s="819" t="s">
        <v>229</v>
      </c>
      <c r="AA55" s="819"/>
      <c r="AB55" s="819"/>
      <c r="AC55" s="819"/>
      <c r="AD55" s="819"/>
      <c r="AE55" s="819"/>
      <c r="AF55" s="819"/>
      <c r="AG55" s="819"/>
      <c r="AH55" s="127"/>
      <c r="AI55" s="818" t="str">
        <f>"" &amp; 申請代理人FAX</f>
        <v/>
      </c>
      <c r="AJ55" s="818"/>
      <c r="AK55" s="818"/>
      <c r="AL55" s="818"/>
      <c r="AM55" s="818"/>
      <c r="AN55" s="818"/>
      <c r="AO55" s="818"/>
      <c r="AP55" s="818"/>
      <c r="AQ55" s="818"/>
      <c r="AR55" s="818"/>
      <c r="AS55" s="818"/>
      <c r="AT55" s="818"/>
      <c r="BB55" s="121"/>
      <c r="BC55" s="121"/>
    </row>
    <row r="56" spans="1:101" ht="18" customHeight="1" thickBot="1">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V56" s="115"/>
      <c r="AW56" s="115"/>
      <c r="AX56" s="115"/>
      <c r="AY56" s="115"/>
      <c r="AZ56" s="115"/>
      <c r="BA56" s="115"/>
      <c r="BB56" s="114"/>
    </row>
    <row r="57" spans="1:101" s="120" customFormat="1" ht="20.100000000000001" customHeight="1" thickTop="1" thickBot="1">
      <c r="A57" s="118"/>
      <c r="B57" s="118"/>
      <c r="C57" s="800" t="s">
        <v>243</v>
      </c>
      <c r="D57" s="801"/>
      <c r="E57" s="801"/>
      <c r="F57" s="801"/>
      <c r="G57" s="801"/>
      <c r="H57" s="801"/>
      <c r="I57" s="801"/>
      <c r="J57" s="801"/>
      <c r="K57" s="801"/>
      <c r="L57" s="801"/>
      <c r="M57" s="801"/>
      <c r="N57" s="801"/>
      <c r="O57" s="801"/>
      <c r="P57" s="801"/>
      <c r="Q57" s="801"/>
      <c r="R57" s="802"/>
      <c r="S57" s="115"/>
      <c r="T57" s="115"/>
      <c r="U57" s="115"/>
      <c r="V57" s="115"/>
      <c r="W57" s="115"/>
      <c r="X57" s="115"/>
      <c r="Y57" s="115"/>
      <c r="Z57" s="115"/>
      <c r="AA57" s="115"/>
      <c r="AB57" s="115"/>
      <c r="AC57" s="115"/>
      <c r="AD57" s="115"/>
      <c r="AE57" s="115"/>
      <c r="AF57" s="115"/>
      <c r="AG57" s="115"/>
      <c r="AH57" s="115"/>
      <c r="AI57" s="115"/>
      <c r="AJ57" s="119"/>
      <c r="AK57" s="119"/>
      <c r="AL57" s="119"/>
      <c r="AM57" s="119"/>
      <c r="AN57" s="119"/>
      <c r="AO57" s="119"/>
      <c r="AP57" s="119"/>
      <c r="AQ57" s="119"/>
      <c r="AR57" s="119"/>
      <c r="AS57" s="119"/>
      <c r="AT57" s="119"/>
      <c r="AU57" s="119"/>
      <c r="AV57" s="127"/>
      <c r="AW57" s="127"/>
      <c r="AX57" s="127"/>
      <c r="AY57" s="127"/>
      <c r="AZ57" s="127"/>
      <c r="BA57" s="127"/>
      <c r="BB57" s="121"/>
      <c r="BC57" s="121"/>
    </row>
    <row r="58" spans="1:101" s="120" customFormat="1" ht="3" customHeight="1" thickTop="1">
      <c r="A58" s="118"/>
      <c r="B58" s="118"/>
      <c r="C58" s="123"/>
      <c r="D58" s="123"/>
      <c r="E58" s="123"/>
      <c r="F58" s="123"/>
      <c r="G58" s="123"/>
      <c r="H58" s="123"/>
      <c r="I58" s="123"/>
      <c r="J58" s="123"/>
      <c r="K58" s="123"/>
      <c r="L58" s="119"/>
      <c r="M58" s="134"/>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21"/>
      <c r="BC58" s="121"/>
    </row>
    <row r="59" spans="1:101" customFormat="1" ht="15" customHeight="1">
      <c r="A59" s="114"/>
      <c r="B59" s="114"/>
      <c r="C59" s="136"/>
      <c r="D59" s="137"/>
      <c r="E59" s="137"/>
      <c r="F59" s="137"/>
      <c r="G59" s="137"/>
      <c r="H59" s="137"/>
      <c r="I59" s="137"/>
      <c r="J59" s="137"/>
      <c r="K59" s="137"/>
      <c r="L59" s="137"/>
      <c r="M59" s="137"/>
      <c r="N59" s="137"/>
      <c r="O59" s="137"/>
      <c r="P59" s="803" t="s">
        <v>244</v>
      </c>
      <c r="Q59" s="804"/>
      <c r="R59" s="804"/>
      <c r="S59" s="804"/>
      <c r="T59" s="804"/>
      <c r="U59" s="804"/>
      <c r="V59" s="804"/>
      <c r="W59" s="804"/>
      <c r="X59" s="804"/>
      <c r="Y59" s="804"/>
      <c r="Z59" s="804"/>
      <c r="AA59" s="804"/>
      <c r="AB59" s="804"/>
      <c r="AC59" s="804"/>
      <c r="AD59" s="804"/>
      <c r="AE59" s="804"/>
      <c r="AF59" s="804"/>
      <c r="AG59" s="138"/>
      <c r="AH59" s="805" t="s">
        <v>245</v>
      </c>
      <c r="AI59" s="805"/>
      <c r="AJ59" s="805"/>
      <c r="AK59" s="805"/>
      <c r="AL59" s="805"/>
      <c r="AM59" s="805"/>
      <c r="AN59" s="805"/>
      <c r="AO59" s="805"/>
      <c r="AP59" s="806" t="str">
        <f>IF(直近決算日="","",TEXT(直近決算日,"ggge年m月d日"))</f>
        <v/>
      </c>
      <c r="AQ59" s="806"/>
      <c r="AR59" s="806"/>
      <c r="AS59" s="806"/>
      <c r="AT59" s="806"/>
      <c r="AU59" s="806"/>
      <c r="AV59" s="806"/>
      <c r="AW59" s="806"/>
      <c r="AX59" s="806"/>
      <c r="AY59" s="806"/>
      <c r="AZ59" s="139"/>
      <c r="BB59" s="112"/>
      <c r="BC59" s="112"/>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c r="CJ59" s="113"/>
      <c r="CK59" s="113"/>
      <c r="CL59" s="113"/>
      <c r="CM59" s="113"/>
      <c r="CN59" s="113"/>
      <c r="CO59" s="113"/>
      <c r="CP59" s="113"/>
      <c r="CQ59" s="113"/>
      <c r="CR59" s="113"/>
      <c r="CS59" s="113"/>
      <c r="CT59" s="113"/>
      <c r="CU59" s="113"/>
      <c r="CV59" s="113"/>
      <c r="CW59" s="113"/>
    </row>
    <row r="60" spans="1:101">
      <c r="A60" s="113"/>
      <c r="B60" s="113"/>
      <c r="C60" s="140"/>
      <c r="D60" s="807" t="s">
        <v>246</v>
      </c>
      <c r="E60" s="807"/>
      <c r="F60" s="807"/>
      <c r="G60" s="807"/>
      <c r="H60" s="807"/>
      <c r="I60" s="807"/>
      <c r="J60" s="807"/>
      <c r="K60" s="807"/>
      <c r="L60" s="807"/>
      <c r="M60" s="807"/>
      <c r="N60" s="807"/>
      <c r="O60" s="141"/>
      <c r="P60" s="808" t="s">
        <v>247</v>
      </c>
      <c r="Q60" s="809"/>
      <c r="R60" s="809"/>
      <c r="S60" s="809"/>
      <c r="T60" s="809"/>
      <c r="U60" s="809"/>
      <c r="V60" s="809"/>
      <c r="W60" s="809"/>
      <c r="X60" s="809"/>
      <c r="Y60" s="810"/>
      <c r="Z60" s="811" t="s">
        <v>248</v>
      </c>
      <c r="AA60" s="812"/>
      <c r="AB60" s="812"/>
      <c r="AC60" s="812"/>
      <c r="AD60" s="812"/>
      <c r="AE60" s="812"/>
      <c r="AF60" s="812"/>
      <c r="AG60" s="812"/>
      <c r="AH60" s="812"/>
      <c r="AI60" s="813"/>
      <c r="AJ60" s="142"/>
      <c r="AK60" s="814" t="s">
        <v>249</v>
      </c>
      <c r="AL60" s="814"/>
      <c r="AM60" s="814"/>
      <c r="AN60" s="814"/>
      <c r="AO60" s="814"/>
      <c r="AP60" s="814"/>
      <c r="AQ60" s="814"/>
      <c r="AR60" s="814"/>
      <c r="AS60" s="814"/>
      <c r="AT60" s="814"/>
      <c r="AU60" s="814"/>
      <c r="AV60" s="814"/>
      <c r="AW60" s="814"/>
      <c r="AX60" s="814"/>
      <c r="AY60" s="814"/>
      <c r="AZ60" s="143"/>
      <c r="BA60" s="113"/>
      <c r="BB60" s="113"/>
      <c r="BC60" s="113"/>
    </row>
    <row r="61" spans="1:101">
      <c r="A61" s="113"/>
      <c r="B61" s="113"/>
      <c r="C61" s="140"/>
      <c r="D61" s="807"/>
      <c r="E61" s="807"/>
      <c r="F61" s="807"/>
      <c r="G61" s="807"/>
      <c r="H61" s="807"/>
      <c r="I61" s="807"/>
      <c r="J61" s="807"/>
      <c r="K61" s="807"/>
      <c r="L61" s="807"/>
      <c r="M61" s="807"/>
      <c r="N61" s="807"/>
      <c r="O61" s="141"/>
      <c r="P61" s="792" t="str">
        <f>IF(ISBLANK(実績高_開始日_２年前), "", TEXT(実績高_開始日_２年前,"ggge年m月"))</f>
        <v/>
      </c>
      <c r="Q61" s="793"/>
      <c r="R61" s="793"/>
      <c r="S61" s="793"/>
      <c r="T61" s="793"/>
      <c r="U61" s="793"/>
      <c r="V61" s="793"/>
      <c r="W61" s="793"/>
      <c r="X61" s="794" t="s">
        <v>250</v>
      </c>
      <c r="Y61" s="815"/>
      <c r="Z61" s="792" t="str">
        <f>IF(ISBLANK(実績高_開始日_１年前), "", TEXT(実績高_開始日_１年前,"ggge年m月"))</f>
        <v/>
      </c>
      <c r="AA61" s="793"/>
      <c r="AB61" s="793"/>
      <c r="AC61" s="793"/>
      <c r="AD61" s="793"/>
      <c r="AE61" s="793"/>
      <c r="AF61" s="793"/>
      <c r="AG61" s="793"/>
      <c r="AH61" s="794" t="s">
        <v>250</v>
      </c>
      <c r="AI61" s="794"/>
      <c r="AJ61" s="140"/>
      <c r="AK61" s="795"/>
      <c r="AL61" s="795"/>
      <c r="AM61" s="795"/>
      <c r="AN61" s="795"/>
      <c r="AO61" s="795"/>
      <c r="AP61" s="795"/>
      <c r="AQ61" s="795"/>
      <c r="AR61" s="795"/>
      <c r="AS61" s="795"/>
      <c r="AT61" s="795"/>
      <c r="AU61" s="795"/>
      <c r="AV61" s="795"/>
      <c r="AW61" s="795"/>
      <c r="AX61" s="795"/>
      <c r="AY61" s="795"/>
      <c r="AZ61" s="144"/>
      <c r="BA61" s="113"/>
      <c r="BB61" s="113"/>
      <c r="BC61" s="113"/>
    </row>
    <row r="62" spans="1:101">
      <c r="A62" s="113"/>
      <c r="B62" s="113"/>
      <c r="C62" s="140"/>
      <c r="D62" s="807"/>
      <c r="E62" s="807"/>
      <c r="F62" s="807"/>
      <c r="G62" s="807"/>
      <c r="H62" s="807"/>
      <c r="I62" s="807"/>
      <c r="J62" s="807"/>
      <c r="K62" s="807"/>
      <c r="L62" s="807"/>
      <c r="M62" s="807"/>
      <c r="N62" s="807"/>
      <c r="O62" s="141"/>
      <c r="P62" s="796" t="str">
        <f>IF(ISBLANK(実績高_終了日_２年前), "", TEXT(実績高_終了日_２年前,"ggge年m月"))</f>
        <v/>
      </c>
      <c r="Q62" s="797"/>
      <c r="R62" s="797"/>
      <c r="S62" s="797"/>
      <c r="T62" s="797"/>
      <c r="U62" s="797"/>
      <c r="V62" s="797"/>
      <c r="W62" s="797"/>
      <c r="X62" s="798" t="s">
        <v>251</v>
      </c>
      <c r="Y62" s="799"/>
      <c r="Z62" s="796" t="str">
        <f>IF(ISBLANK(実績高_終了日_１年前), "", TEXT(実績高_終了日_１年前,"ggge年m月"))</f>
        <v/>
      </c>
      <c r="AA62" s="797"/>
      <c r="AB62" s="797"/>
      <c r="AC62" s="797"/>
      <c r="AD62" s="797"/>
      <c r="AE62" s="797"/>
      <c r="AF62" s="797"/>
      <c r="AG62" s="797"/>
      <c r="AH62" s="798" t="s">
        <v>251</v>
      </c>
      <c r="AI62" s="798"/>
      <c r="AJ62" s="140"/>
      <c r="AK62" s="145"/>
      <c r="AL62" s="145"/>
      <c r="AM62" s="145"/>
      <c r="AN62" s="145"/>
      <c r="AO62" s="145"/>
      <c r="AP62" s="145"/>
      <c r="AQ62" s="145"/>
      <c r="AR62" s="145"/>
      <c r="AS62" s="145"/>
      <c r="AT62" s="145"/>
      <c r="AU62" s="145"/>
      <c r="AV62" s="145"/>
      <c r="AW62" s="145"/>
      <c r="AX62" s="145"/>
      <c r="AY62" s="146" t="s">
        <v>252</v>
      </c>
      <c r="AZ62" s="147"/>
      <c r="BA62" s="113"/>
      <c r="BB62" s="113"/>
      <c r="BC62" s="113"/>
    </row>
    <row r="63" spans="1:101" ht="3.75" customHeight="1">
      <c r="A63" s="113"/>
      <c r="B63" s="113"/>
      <c r="C63" s="140"/>
      <c r="D63" s="141"/>
      <c r="E63" s="141"/>
      <c r="F63" s="141"/>
      <c r="G63" s="141"/>
      <c r="H63" s="141"/>
      <c r="I63" s="141"/>
      <c r="J63" s="141"/>
      <c r="K63" s="141"/>
      <c r="L63" s="141"/>
      <c r="M63" s="141"/>
      <c r="N63" s="141"/>
      <c r="O63" s="141"/>
      <c r="P63" s="140"/>
      <c r="Q63" s="141"/>
      <c r="R63" s="141"/>
      <c r="S63" s="141"/>
      <c r="T63" s="141"/>
      <c r="U63" s="141"/>
      <c r="V63" s="141"/>
      <c r="W63" s="148"/>
      <c r="X63" s="148"/>
      <c r="Y63" s="149"/>
      <c r="Z63" s="140"/>
      <c r="AA63" s="141"/>
      <c r="AB63" s="141"/>
      <c r="AC63" s="141"/>
      <c r="AD63" s="141"/>
      <c r="AE63" s="141"/>
      <c r="AF63" s="141"/>
      <c r="AG63" s="148"/>
      <c r="AH63" s="148"/>
      <c r="AI63" s="148"/>
      <c r="AJ63" s="140"/>
      <c r="AK63" s="150"/>
      <c r="AL63" s="150"/>
      <c r="AM63" s="150"/>
      <c r="AN63" s="150"/>
      <c r="AO63" s="150"/>
      <c r="AP63" s="150"/>
      <c r="AQ63" s="150"/>
      <c r="AR63" s="150"/>
      <c r="AS63" s="150"/>
      <c r="AT63" s="150"/>
      <c r="AU63" s="150"/>
      <c r="AV63" s="150"/>
      <c r="AW63" s="150"/>
      <c r="AX63" s="150"/>
      <c r="AY63" s="148"/>
      <c r="AZ63" s="149"/>
      <c r="BA63" s="113"/>
      <c r="BB63" s="113"/>
      <c r="BC63" s="113"/>
    </row>
    <row r="64" spans="1:101" ht="13.5" customHeight="1">
      <c r="A64" s="113"/>
      <c r="B64" s="113"/>
      <c r="C64" s="788" t="s">
        <v>253</v>
      </c>
      <c r="D64" s="789"/>
      <c r="E64" s="789"/>
      <c r="F64" s="789"/>
      <c r="G64" s="789"/>
      <c r="H64" s="789"/>
      <c r="I64" s="789"/>
      <c r="J64" s="789"/>
      <c r="K64" s="789"/>
      <c r="L64" s="789"/>
      <c r="M64" s="789"/>
      <c r="N64" s="789"/>
      <c r="O64" s="789"/>
      <c r="P64" s="790">
        <f>実績高_測量_２年前</f>
        <v>0</v>
      </c>
      <c r="Q64" s="791"/>
      <c r="R64" s="791"/>
      <c r="S64" s="791"/>
      <c r="T64" s="791"/>
      <c r="U64" s="791"/>
      <c r="V64" s="791"/>
      <c r="W64" s="791"/>
      <c r="X64" s="791"/>
      <c r="Y64" s="151"/>
      <c r="Z64" s="790">
        <f>実績高_測量_１年前</f>
        <v>0</v>
      </c>
      <c r="AA64" s="791"/>
      <c r="AB64" s="791"/>
      <c r="AC64" s="791"/>
      <c r="AD64" s="791"/>
      <c r="AE64" s="791"/>
      <c r="AF64" s="791"/>
      <c r="AG64" s="791"/>
      <c r="AH64" s="791"/>
      <c r="AI64" s="152"/>
      <c r="AJ64" s="790">
        <f>実績高_測量_２年平均</f>
        <v>0</v>
      </c>
      <c r="AK64" s="791"/>
      <c r="AL64" s="791"/>
      <c r="AM64" s="791"/>
      <c r="AN64" s="791"/>
      <c r="AO64" s="791"/>
      <c r="AP64" s="791"/>
      <c r="AQ64" s="791"/>
      <c r="AR64" s="791"/>
      <c r="AS64" s="791"/>
      <c r="AT64" s="791"/>
      <c r="AU64" s="791"/>
      <c r="AV64" s="791"/>
      <c r="AW64" s="791"/>
      <c r="AX64" s="791"/>
      <c r="AY64" s="791"/>
      <c r="AZ64" s="151"/>
      <c r="BA64" s="113"/>
      <c r="BB64" s="113"/>
      <c r="BC64" s="113"/>
    </row>
    <row r="65" spans="1:60" ht="13.5" customHeight="1">
      <c r="A65" s="113"/>
      <c r="B65" s="113"/>
      <c r="C65" s="788" t="s">
        <v>254</v>
      </c>
      <c r="D65" s="789"/>
      <c r="E65" s="789"/>
      <c r="F65" s="789"/>
      <c r="G65" s="789"/>
      <c r="H65" s="789"/>
      <c r="I65" s="789"/>
      <c r="J65" s="789"/>
      <c r="K65" s="789"/>
      <c r="L65" s="789"/>
      <c r="M65" s="789"/>
      <c r="N65" s="789"/>
      <c r="O65" s="789"/>
      <c r="P65" s="790">
        <f>実績高_建コン_２年前</f>
        <v>0</v>
      </c>
      <c r="Q65" s="791"/>
      <c r="R65" s="791"/>
      <c r="S65" s="791"/>
      <c r="T65" s="791"/>
      <c r="U65" s="791"/>
      <c r="V65" s="791"/>
      <c r="W65" s="791"/>
      <c r="X65" s="791"/>
      <c r="Y65" s="151"/>
      <c r="Z65" s="790">
        <f>実績高_建コン_１年前</f>
        <v>0</v>
      </c>
      <c r="AA65" s="791"/>
      <c r="AB65" s="791"/>
      <c r="AC65" s="791"/>
      <c r="AD65" s="791"/>
      <c r="AE65" s="791"/>
      <c r="AF65" s="791"/>
      <c r="AG65" s="791"/>
      <c r="AH65" s="791"/>
      <c r="AI65" s="152"/>
      <c r="AJ65" s="790">
        <f>実績高_建コン_２年平均</f>
        <v>0</v>
      </c>
      <c r="AK65" s="791"/>
      <c r="AL65" s="791"/>
      <c r="AM65" s="791"/>
      <c r="AN65" s="791"/>
      <c r="AO65" s="791"/>
      <c r="AP65" s="791"/>
      <c r="AQ65" s="791"/>
      <c r="AR65" s="791"/>
      <c r="AS65" s="791"/>
      <c r="AT65" s="791"/>
      <c r="AU65" s="791"/>
      <c r="AV65" s="791"/>
      <c r="AW65" s="791"/>
      <c r="AX65" s="791"/>
      <c r="AY65" s="791"/>
      <c r="AZ65" s="151"/>
      <c r="BA65" s="113"/>
      <c r="BB65" s="113"/>
      <c r="BC65" s="113"/>
    </row>
    <row r="66" spans="1:60" ht="13.5" customHeight="1">
      <c r="A66" s="113"/>
      <c r="B66" s="113"/>
      <c r="C66" s="788" t="s">
        <v>255</v>
      </c>
      <c r="D66" s="789"/>
      <c r="E66" s="789"/>
      <c r="F66" s="789"/>
      <c r="G66" s="789"/>
      <c r="H66" s="789"/>
      <c r="I66" s="789"/>
      <c r="J66" s="789"/>
      <c r="K66" s="789"/>
      <c r="L66" s="789"/>
      <c r="M66" s="789"/>
      <c r="N66" s="789"/>
      <c r="O66" s="789"/>
      <c r="P66" s="790">
        <f>実績高_土コン_２年前</f>
        <v>0</v>
      </c>
      <c r="Q66" s="791"/>
      <c r="R66" s="791"/>
      <c r="S66" s="791"/>
      <c r="T66" s="791"/>
      <c r="U66" s="791"/>
      <c r="V66" s="791"/>
      <c r="W66" s="791"/>
      <c r="X66" s="791"/>
      <c r="Y66" s="151"/>
      <c r="Z66" s="790">
        <f>実績高_土コン_１年前</f>
        <v>0</v>
      </c>
      <c r="AA66" s="791"/>
      <c r="AB66" s="791"/>
      <c r="AC66" s="791"/>
      <c r="AD66" s="791"/>
      <c r="AE66" s="791"/>
      <c r="AF66" s="791"/>
      <c r="AG66" s="791"/>
      <c r="AH66" s="791"/>
      <c r="AI66" s="152"/>
      <c r="AJ66" s="790">
        <f>実績高_土コン_２年平均</f>
        <v>0</v>
      </c>
      <c r="AK66" s="791"/>
      <c r="AL66" s="791"/>
      <c r="AM66" s="791"/>
      <c r="AN66" s="791"/>
      <c r="AO66" s="791"/>
      <c r="AP66" s="791"/>
      <c r="AQ66" s="791"/>
      <c r="AR66" s="791"/>
      <c r="AS66" s="791"/>
      <c r="AT66" s="791"/>
      <c r="AU66" s="791"/>
      <c r="AV66" s="791"/>
      <c r="AW66" s="791"/>
      <c r="AX66" s="791"/>
      <c r="AY66" s="791"/>
      <c r="AZ66" s="151"/>
      <c r="BA66" s="113"/>
      <c r="BB66" s="113"/>
      <c r="BC66" s="113"/>
    </row>
    <row r="67" spans="1:60" ht="13.5" customHeight="1">
      <c r="A67" s="113"/>
      <c r="B67" s="113"/>
      <c r="C67" s="788" t="s">
        <v>256</v>
      </c>
      <c r="D67" s="789"/>
      <c r="E67" s="789"/>
      <c r="F67" s="789"/>
      <c r="G67" s="789"/>
      <c r="H67" s="789"/>
      <c r="I67" s="789"/>
      <c r="J67" s="789"/>
      <c r="K67" s="789"/>
      <c r="L67" s="789"/>
      <c r="M67" s="789"/>
      <c r="N67" s="789"/>
      <c r="O67" s="789"/>
      <c r="P67" s="790">
        <f>実績高_地質_２年前</f>
        <v>0</v>
      </c>
      <c r="Q67" s="791"/>
      <c r="R67" s="791"/>
      <c r="S67" s="791"/>
      <c r="T67" s="791"/>
      <c r="U67" s="791"/>
      <c r="V67" s="791"/>
      <c r="W67" s="791"/>
      <c r="X67" s="791"/>
      <c r="Y67" s="151"/>
      <c r="Z67" s="790">
        <f>実績高_地質_１年前</f>
        <v>0</v>
      </c>
      <c r="AA67" s="791"/>
      <c r="AB67" s="791"/>
      <c r="AC67" s="791"/>
      <c r="AD67" s="791"/>
      <c r="AE67" s="791"/>
      <c r="AF67" s="791"/>
      <c r="AG67" s="791"/>
      <c r="AH67" s="791"/>
      <c r="AI67" s="152"/>
      <c r="AJ67" s="790">
        <f>実績高_地質_２年平均</f>
        <v>0</v>
      </c>
      <c r="AK67" s="791"/>
      <c r="AL67" s="791"/>
      <c r="AM67" s="791"/>
      <c r="AN67" s="791"/>
      <c r="AO67" s="791"/>
      <c r="AP67" s="791"/>
      <c r="AQ67" s="791"/>
      <c r="AR67" s="791"/>
      <c r="AS67" s="791"/>
      <c r="AT67" s="791"/>
      <c r="AU67" s="791"/>
      <c r="AV67" s="791"/>
      <c r="AW67" s="791"/>
      <c r="AX67" s="791"/>
      <c r="AY67" s="791"/>
      <c r="AZ67" s="151"/>
      <c r="BA67" s="113"/>
      <c r="BB67" s="113"/>
      <c r="BC67" s="113"/>
    </row>
    <row r="68" spans="1:60" ht="13.5" customHeight="1">
      <c r="A68" s="113"/>
      <c r="B68" s="113"/>
      <c r="C68" s="788" t="s">
        <v>257</v>
      </c>
      <c r="D68" s="789"/>
      <c r="E68" s="789"/>
      <c r="F68" s="789"/>
      <c r="G68" s="789"/>
      <c r="H68" s="789"/>
      <c r="I68" s="789"/>
      <c r="J68" s="789"/>
      <c r="K68" s="789"/>
      <c r="L68" s="789"/>
      <c r="M68" s="789"/>
      <c r="N68" s="789"/>
      <c r="O68" s="789"/>
      <c r="P68" s="790">
        <f>実績高_補コン_２年前</f>
        <v>0</v>
      </c>
      <c r="Q68" s="791"/>
      <c r="R68" s="791"/>
      <c r="S68" s="791"/>
      <c r="T68" s="791"/>
      <c r="U68" s="791"/>
      <c r="V68" s="791"/>
      <c r="W68" s="791"/>
      <c r="X68" s="791"/>
      <c r="Y68" s="151"/>
      <c r="Z68" s="790">
        <f>実績高_補コン_１年前</f>
        <v>0</v>
      </c>
      <c r="AA68" s="791"/>
      <c r="AB68" s="791"/>
      <c r="AC68" s="791"/>
      <c r="AD68" s="791"/>
      <c r="AE68" s="791"/>
      <c r="AF68" s="791"/>
      <c r="AG68" s="791"/>
      <c r="AH68" s="791"/>
      <c r="AI68" s="152"/>
      <c r="AJ68" s="790">
        <f>実績高_補コン_２年平均</f>
        <v>0</v>
      </c>
      <c r="AK68" s="791"/>
      <c r="AL68" s="791"/>
      <c r="AM68" s="791"/>
      <c r="AN68" s="791"/>
      <c r="AO68" s="791"/>
      <c r="AP68" s="791"/>
      <c r="AQ68" s="791"/>
      <c r="AR68" s="791"/>
      <c r="AS68" s="791"/>
      <c r="AT68" s="791"/>
      <c r="AU68" s="791"/>
      <c r="AV68" s="791"/>
      <c r="AW68" s="791"/>
      <c r="AX68" s="791"/>
      <c r="AY68" s="791"/>
      <c r="AZ68" s="151"/>
      <c r="BA68" s="113"/>
      <c r="BB68" s="113"/>
      <c r="BC68" s="113"/>
    </row>
    <row r="69" spans="1:60" ht="13.5" customHeight="1">
      <c r="A69" s="113"/>
      <c r="B69" s="113"/>
      <c r="C69" s="788" t="s">
        <v>258</v>
      </c>
      <c r="D69" s="789"/>
      <c r="E69" s="789"/>
      <c r="F69" s="789"/>
      <c r="G69" s="789"/>
      <c r="H69" s="789"/>
      <c r="I69" s="789"/>
      <c r="J69" s="789"/>
      <c r="K69" s="789"/>
      <c r="L69" s="789"/>
      <c r="M69" s="789"/>
      <c r="N69" s="789"/>
      <c r="O69" s="789"/>
      <c r="P69" s="790">
        <f>実績高_その他_２年前</f>
        <v>0</v>
      </c>
      <c r="Q69" s="791"/>
      <c r="R69" s="791"/>
      <c r="S69" s="791"/>
      <c r="T69" s="791"/>
      <c r="U69" s="791"/>
      <c r="V69" s="791"/>
      <c r="W69" s="791"/>
      <c r="X69" s="791"/>
      <c r="Y69" s="151"/>
      <c r="Z69" s="790">
        <f>実績高_その他_１年前</f>
        <v>0</v>
      </c>
      <c r="AA69" s="791"/>
      <c r="AB69" s="791"/>
      <c r="AC69" s="791"/>
      <c r="AD69" s="791"/>
      <c r="AE69" s="791"/>
      <c r="AF69" s="791"/>
      <c r="AG69" s="791"/>
      <c r="AH69" s="791"/>
      <c r="AI69" s="152"/>
      <c r="AJ69" s="790">
        <f>実績高_その他_２年平均</f>
        <v>0</v>
      </c>
      <c r="AK69" s="791"/>
      <c r="AL69" s="791"/>
      <c r="AM69" s="791"/>
      <c r="AN69" s="791"/>
      <c r="AO69" s="791"/>
      <c r="AP69" s="791"/>
      <c r="AQ69" s="791"/>
      <c r="AR69" s="791"/>
      <c r="AS69" s="791"/>
      <c r="AT69" s="791"/>
      <c r="AU69" s="791"/>
      <c r="AV69" s="791"/>
      <c r="AW69" s="791"/>
      <c r="AX69" s="791"/>
      <c r="AY69" s="791"/>
      <c r="AZ69" s="151"/>
      <c r="BA69" s="113"/>
      <c r="BB69" s="113"/>
      <c r="BC69" s="113"/>
    </row>
    <row r="70" spans="1:60" ht="13.5" customHeight="1">
      <c r="A70" s="113"/>
      <c r="B70" s="113"/>
      <c r="C70" s="788" t="s">
        <v>259</v>
      </c>
      <c r="D70" s="789"/>
      <c r="E70" s="789"/>
      <c r="F70" s="789"/>
      <c r="G70" s="789"/>
      <c r="H70" s="789"/>
      <c r="I70" s="789"/>
      <c r="J70" s="789"/>
      <c r="K70" s="789"/>
      <c r="L70" s="789"/>
      <c r="M70" s="789"/>
      <c r="N70" s="789"/>
      <c r="O70" s="789"/>
      <c r="P70" s="790">
        <f>SUM(P64:Y69)</f>
        <v>0</v>
      </c>
      <c r="Q70" s="791"/>
      <c r="R70" s="791"/>
      <c r="S70" s="791"/>
      <c r="T70" s="791"/>
      <c r="U70" s="791"/>
      <c r="V70" s="791"/>
      <c r="W70" s="791"/>
      <c r="X70" s="791"/>
      <c r="Y70" s="151"/>
      <c r="Z70" s="790">
        <f>SUM(Z64:AI69)</f>
        <v>0</v>
      </c>
      <c r="AA70" s="791"/>
      <c r="AB70" s="791"/>
      <c r="AC70" s="791"/>
      <c r="AD70" s="791"/>
      <c r="AE70" s="791"/>
      <c r="AF70" s="791"/>
      <c r="AG70" s="791"/>
      <c r="AH70" s="791"/>
      <c r="AI70" s="152"/>
      <c r="AJ70" s="790">
        <f>SUM(AJ64:AY69)</f>
        <v>0</v>
      </c>
      <c r="AK70" s="791"/>
      <c r="AL70" s="791"/>
      <c r="AM70" s="791"/>
      <c r="AN70" s="791"/>
      <c r="AO70" s="791"/>
      <c r="AP70" s="791"/>
      <c r="AQ70" s="791"/>
      <c r="AR70" s="791"/>
      <c r="AS70" s="791"/>
      <c r="AT70" s="791"/>
      <c r="AU70" s="791"/>
      <c r="AV70" s="791"/>
      <c r="AW70" s="791"/>
      <c r="AX70" s="791"/>
      <c r="AY70" s="791"/>
      <c r="AZ70" s="151"/>
      <c r="BA70" s="113"/>
      <c r="BB70" s="113"/>
      <c r="BC70" s="113"/>
    </row>
    <row r="71" spans="1:60" ht="13.5" customHeight="1">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4"/>
      <c r="BC71" s="154"/>
      <c r="BD71" s="154"/>
      <c r="BE71" s="154"/>
      <c r="BF71" s="154"/>
      <c r="BG71" s="154"/>
      <c r="BH71" s="154"/>
    </row>
    <row r="72" spans="1:60" ht="18" customHeight="1">
      <c r="A72" s="113"/>
      <c r="B72" s="113"/>
      <c r="C72" s="785" t="s">
        <v>260</v>
      </c>
      <c r="D72" s="785"/>
      <c r="E72" s="785"/>
      <c r="F72" s="785"/>
      <c r="G72" s="785"/>
      <c r="H72" s="785"/>
      <c r="I72" s="785"/>
      <c r="J72" s="785"/>
      <c r="K72" s="785"/>
      <c r="L72" s="119"/>
      <c r="M72" s="786">
        <f>払込資本金</f>
        <v>0</v>
      </c>
      <c r="N72" s="786"/>
      <c r="O72" s="786"/>
      <c r="P72" s="786"/>
      <c r="Q72" s="786"/>
      <c r="R72" s="786"/>
      <c r="S72" s="786"/>
      <c r="T72" s="786"/>
      <c r="U72" s="786"/>
      <c r="V72" s="786"/>
      <c r="W72" s="126"/>
      <c r="X72" s="787" t="s">
        <v>261</v>
      </c>
      <c r="Y72" s="787"/>
      <c r="Z72" s="787"/>
      <c r="AA72" s="787"/>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13"/>
      <c r="AX72" s="113"/>
      <c r="AY72" s="113"/>
      <c r="AZ72" s="113"/>
      <c r="BA72" s="113"/>
      <c r="BB72" s="113"/>
      <c r="BC72" s="113"/>
    </row>
    <row r="73" spans="1:60" s="120" customFormat="1" ht="3" customHeight="1">
      <c r="A73" s="118"/>
      <c r="B73" s="118"/>
      <c r="C73" s="123"/>
      <c r="D73" s="123"/>
      <c r="E73" s="123"/>
      <c r="F73" s="123"/>
      <c r="G73" s="123"/>
      <c r="H73" s="123"/>
      <c r="I73" s="123"/>
      <c r="J73" s="123"/>
      <c r="K73" s="123"/>
      <c r="L73" s="119"/>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21"/>
      <c r="AZ73" s="121"/>
    </row>
    <row r="74" spans="1:60" ht="18" customHeight="1">
      <c r="A74" s="113"/>
      <c r="B74" s="113"/>
      <c r="C74" s="785" t="s">
        <v>262</v>
      </c>
      <c r="D74" s="785"/>
      <c r="E74" s="785"/>
      <c r="F74" s="785"/>
      <c r="G74" s="785"/>
      <c r="H74" s="785"/>
      <c r="I74" s="785"/>
      <c r="J74" s="785"/>
      <c r="K74" s="785"/>
      <c r="L74" s="119"/>
      <c r="M74" s="786">
        <f>自己資本額</f>
        <v>0</v>
      </c>
      <c r="N74" s="786"/>
      <c r="O74" s="786"/>
      <c r="P74" s="786"/>
      <c r="Q74" s="786"/>
      <c r="R74" s="786"/>
      <c r="S74" s="786"/>
      <c r="T74" s="786"/>
      <c r="U74" s="786"/>
      <c r="V74" s="786"/>
      <c r="W74" s="126"/>
      <c r="X74" s="787" t="s">
        <v>261</v>
      </c>
      <c r="Y74" s="787"/>
      <c r="Z74" s="787"/>
      <c r="AA74" s="787"/>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13"/>
      <c r="AX74" s="113"/>
      <c r="AY74" s="113"/>
      <c r="AZ74" s="113"/>
      <c r="BA74" s="113"/>
      <c r="BB74" s="113"/>
      <c r="BC74" s="113"/>
    </row>
  </sheetData>
  <sheetProtection password="EF3D" sheet="1" objects="1" scenarios="1" selectLockedCells="1"/>
  <mergeCells count="126">
    <mergeCell ref="AO2:AZ2"/>
    <mergeCell ref="B3:BA3"/>
    <mergeCell ref="B5:BA5"/>
    <mergeCell ref="C10:K10"/>
    <mergeCell ref="C17:K17"/>
    <mergeCell ref="M17:V17"/>
    <mergeCell ref="X17:BA17"/>
    <mergeCell ref="B1:AZ1"/>
    <mergeCell ref="C19:K19"/>
    <mergeCell ref="M19:N19"/>
    <mergeCell ref="O19:S19"/>
    <mergeCell ref="M11:BA11"/>
    <mergeCell ref="C12:K12"/>
    <mergeCell ref="M12:BA12"/>
    <mergeCell ref="C14:K14"/>
    <mergeCell ref="M14:X14"/>
    <mergeCell ref="X16:BA16"/>
    <mergeCell ref="U19:BB19"/>
    <mergeCell ref="C25:K25"/>
    <mergeCell ref="M25:X25"/>
    <mergeCell ref="Z25:AC25"/>
    <mergeCell ref="AD25:AK25"/>
    <mergeCell ref="AL25:AR25"/>
    <mergeCell ref="AT25:BA25"/>
    <mergeCell ref="C21:K21"/>
    <mergeCell ref="M21:X21"/>
    <mergeCell ref="Z21:AG21"/>
    <mergeCell ref="AI21:AT21"/>
    <mergeCell ref="C23:K23"/>
    <mergeCell ref="O23:U23"/>
    <mergeCell ref="W23:X23"/>
    <mergeCell ref="C34:K34"/>
    <mergeCell ref="M34:X34"/>
    <mergeCell ref="Z34:AG34"/>
    <mergeCell ref="AI34:AT34"/>
    <mergeCell ref="C36:K36"/>
    <mergeCell ref="M36:BA36"/>
    <mergeCell ref="C28:K28"/>
    <mergeCell ref="C29:K29"/>
    <mergeCell ref="M29:BA29"/>
    <mergeCell ref="C31:K31"/>
    <mergeCell ref="M31:X31"/>
    <mergeCell ref="C32:K32"/>
    <mergeCell ref="M32:X32"/>
    <mergeCell ref="C42:K42"/>
    <mergeCell ref="M42:BA42"/>
    <mergeCell ref="C44:K44"/>
    <mergeCell ref="X44:BA44"/>
    <mergeCell ref="C45:K45"/>
    <mergeCell ref="M45:V45"/>
    <mergeCell ref="X45:BA45"/>
    <mergeCell ref="C38:K38"/>
    <mergeCell ref="C39:K39"/>
    <mergeCell ref="M39:N39"/>
    <mergeCell ref="O39:S39"/>
    <mergeCell ref="U39:BA39"/>
    <mergeCell ref="C41:K41"/>
    <mergeCell ref="M41:BA41"/>
    <mergeCell ref="C53:K53"/>
    <mergeCell ref="M53:BA53"/>
    <mergeCell ref="C55:K55"/>
    <mergeCell ref="M55:X55"/>
    <mergeCell ref="Z55:AG55"/>
    <mergeCell ref="AI55:AT55"/>
    <mergeCell ref="C47:K47"/>
    <mergeCell ref="M47:X47"/>
    <mergeCell ref="Z47:AG47"/>
    <mergeCell ref="AI47:AT47"/>
    <mergeCell ref="C49:K49"/>
    <mergeCell ref="C50:K50"/>
    <mergeCell ref="M50:N50"/>
    <mergeCell ref="O50:S50"/>
    <mergeCell ref="U50:BA50"/>
    <mergeCell ref="C52:K52"/>
    <mergeCell ref="M52:AZ52"/>
    <mergeCell ref="C57:R57"/>
    <mergeCell ref="P59:AF59"/>
    <mergeCell ref="AH59:AO59"/>
    <mergeCell ref="AP59:AY59"/>
    <mergeCell ref="D60:N62"/>
    <mergeCell ref="P60:Y60"/>
    <mergeCell ref="Z60:AI60"/>
    <mergeCell ref="AK60:AY60"/>
    <mergeCell ref="P61:W61"/>
    <mergeCell ref="X61:Y61"/>
    <mergeCell ref="C64:O64"/>
    <mergeCell ref="P64:X64"/>
    <mergeCell ref="Z64:AH64"/>
    <mergeCell ref="AJ64:AY64"/>
    <mergeCell ref="C65:O65"/>
    <mergeCell ref="P65:X65"/>
    <mergeCell ref="Z65:AH65"/>
    <mergeCell ref="AJ65:AY65"/>
    <mergeCell ref="Z61:AG61"/>
    <mergeCell ref="AH61:AI61"/>
    <mergeCell ref="AK61:AY61"/>
    <mergeCell ref="P62:W62"/>
    <mergeCell ref="X62:Y62"/>
    <mergeCell ref="Z62:AG62"/>
    <mergeCell ref="AH62:AI62"/>
    <mergeCell ref="C68:O68"/>
    <mergeCell ref="P68:X68"/>
    <mergeCell ref="Z68:AH68"/>
    <mergeCell ref="AJ68:AY68"/>
    <mergeCell ref="C69:O69"/>
    <mergeCell ref="P69:X69"/>
    <mergeCell ref="Z69:AH69"/>
    <mergeCell ref="AJ69:AY69"/>
    <mergeCell ref="C66:O66"/>
    <mergeCell ref="P66:X66"/>
    <mergeCell ref="Z66:AH66"/>
    <mergeCell ref="AJ66:AY66"/>
    <mergeCell ref="C67:O67"/>
    <mergeCell ref="P67:X67"/>
    <mergeCell ref="Z67:AH67"/>
    <mergeCell ref="AJ67:AY67"/>
    <mergeCell ref="C74:K74"/>
    <mergeCell ref="M74:V74"/>
    <mergeCell ref="X74:AA74"/>
    <mergeCell ref="C70:O70"/>
    <mergeCell ref="P70:X70"/>
    <mergeCell ref="Z70:AH70"/>
    <mergeCell ref="AJ70:AY70"/>
    <mergeCell ref="C72:K72"/>
    <mergeCell ref="M72:V72"/>
    <mergeCell ref="X72:AA72"/>
  </mergeCells>
  <phoneticPr fontId="5"/>
  <pageMargins left="0.78740157480314965" right="0.31496062992125984" top="0.39370078740157483" bottom="0.11811023622047245" header="0.39370078740157483" footer="0.11811023622047245"/>
  <pageSetup paperSize="9" fitToHeight="0" orientation="portrait" r:id="rId1"/>
  <headerFooter>
    <oddHeader>&amp;R&amp;"ＭＳ 明朝,標準"&amp;8&amp;P/&amp;N</oddHeader>
  </headerFooter>
  <rowBreaks count="1" manualBreakCount="1">
    <brk id="5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77"/>
  <sheetViews>
    <sheetView showGridLines="0" zoomScaleNormal="100" workbookViewId="0"/>
  </sheetViews>
  <sheetFormatPr defaultRowHeight="13.5"/>
  <cols>
    <col min="1" max="1" width="6.125" style="163" customWidth="1"/>
    <col min="2" max="2" width="13" style="163" customWidth="1"/>
    <col min="3" max="4" width="4.625" style="163" customWidth="1"/>
    <col min="5" max="5" width="15.625" style="163" customWidth="1"/>
    <col min="6" max="6" width="5.125" style="163" customWidth="1"/>
    <col min="7" max="7" width="13.375" style="163" customWidth="1"/>
    <col min="8" max="8" width="11.875" style="163" customWidth="1"/>
    <col min="9" max="9" width="13.75" style="163" customWidth="1"/>
    <col min="10" max="241" width="9" style="163"/>
    <col min="242" max="242" width="13" style="163" customWidth="1"/>
    <col min="243" max="243" width="4.625" style="163" customWidth="1"/>
    <col min="244" max="244" width="0" style="163" hidden="1" customWidth="1"/>
    <col min="245" max="245" width="4.625" style="163" customWidth="1"/>
    <col min="246" max="246" width="15.625" style="163" customWidth="1"/>
    <col min="247" max="247" width="5.125" style="163" customWidth="1"/>
    <col min="248" max="248" width="13.375" style="163" customWidth="1"/>
    <col min="249" max="249" width="1.75" style="163" customWidth="1"/>
    <col min="250" max="250" width="5.375" style="163" customWidth="1"/>
    <col min="251" max="251" width="2.125" style="163" customWidth="1"/>
    <col min="252" max="252" width="0.75" style="163" customWidth="1"/>
    <col min="253" max="253" width="3" style="163" customWidth="1"/>
    <col min="254" max="254" width="2.125" style="163" customWidth="1"/>
    <col min="255" max="255" width="2.75" style="163" customWidth="1"/>
    <col min="256" max="256" width="2" style="163" customWidth="1"/>
    <col min="257" max="257" width="2.75" style="163" customWidth="1"/>
    <col min="258" max="258" width="1.875" style="163" customWidth="1"/>
    <col min="259" max="259" width="4.375" style="163" customWidth="1"/>
    <col min="260" max="260" width="12.75" style="163" customWidth="1"/>
    <col min="261" max="262" width="4.875" style="163" customWidth="1"/>
    <col min="263" max="263" width="30.625" style="163" customWidth="1"/>
    <col min="264" max="497" width="9" style="163"/>
    <col min="498" max="498" width="13" style="163" customWidth="1"/>
    <col min="499" max="499" width="4.625" style="163" customWidth="1"/>
    <col min="500" max="500" width="0" style="163" hidden="1" customWidth="1"/>
    <col min="501" max="501" width="4.625" style="163" customWidth="1"/>
    <col min="502" max="502" width="15.625" style="163" customWidth="1"/>
    <col min="503" max="503" width="5.125" style="163" customWidth="1"/>
    <col min="504" max="504" width="13.375" style="163" customWidth="1"/>
    <col min="505" max="505" width="1.75" style="163" customWidth="1"/>
    <col min="506" max="506" width="5.375" style="163" customWidth="1"/>
    <col min="507" max="507" width="2.125" style="163" customWidth="1"/>
    <col min="508" max="508" width="0.75" style="163" customWidth="1"/>
    <col min="509" max="509" width="3" style="163" customWidth="1"/>
    <col min="510" max="510" width="2.125" style="163" customWidth="1"/>
    <col min="511" max="511" width="2.75" style="163" customWidth="1"/>
    <col min="512" max="512" width="2" style="163" customWidth="1"/>
    <col min="513" max="513" width="2.75" style="163" customWidth="1"/>
    <col min="514" max="514" width="1.875" style="163" customWidth="1"/>
    <col min="515" max="515" width="4.375" style="163" customWidth="1"/>
    <col min="516" max="516" width="12.75" style="163" customWidth="1"/>
    <col min="517" max="518" width="4.875" style="163" customWidth="1"/>
    <col min="519" max="519" width="30.625" style="163" customWidth="1"/>
    <col min="520" max="753" width="9" style="163"/>
    <col min="754" max="754" width="13" style="163" customWidth="1"/>
    <col min="755" max="755" width="4.625" style="163" customWidth="1"/>
    <col min="756" max="756" width="0" style="163" hidden="1" customWidth="1"/>
    <col min="757" max="757" width="4.625" style="163" customWidth="1"/>
    <col min="758" max="758" width="15.625" style="163" customWidth="1"/>
    <col min="759" max="759" width="5.125" style="163" customWidth="1"/>
    <col min="760" max="760" width="13.375" style="163" customWidth="1"/>
    <col min="761" max="761" width="1.75" style="163" customWidth="1"/>
    <col min="762" max="762" width="5.375" style="163" customWidth="1"/>
    <col min="763" max="763" width="2.125" style="163" customWidth="1"/>
    <col min="764" max="764" width="0.75" style="163" customWidth="1"/>
    <col min="765" max="765" width="3" style="163" customWidth="1"/>
    <col min="766" max="766" width="2.125" style="163" customWidth="1"/>
    <col min="767" max="767" width="2.75" style="163" customWidth="1"/>
    <col min="768" max="768" width="2" style="163" customWidth="1"/>
    <col min="769" max="769" width="2.75" style="163" customWidth="1"/>
    <col min="770" max="770" width="1.875" style="163" customWidth="1"/>
    <col min="771" max="771" width="4.375" style="163" customWidth="1"/>
    <col min="772" max="772" width="12.75" style="163" customWidth="1"/>
    <col min="773" max="774" width="4.875" style="163" customWidth="1"/>
    <col min="775" max="775" width="30.625" style="163" customWidth="1"/>
    <col min="776" max="1009" width="9" style="163"/>
    <col min="1010" max="1010" width="13" style="163" customWidth="1"/>
    <col min="1011" max="1011" width="4.625" style="163" customWidth="1"/>
    <col min="1012" max="1012" width="0" style="163" hidden="1" customWidth="1"/>
    <col min="1013" max="1013" width="4.625" style="163" customWidth="1"/>
    <col min="1014" max="1014" width="15.625" style="163" customWidth="1"/>
    <col min="1015" max="1015" width="5.125" style="163" customWidth="1"/>
    <col min="1016" max="1016" width="13.375" style="163" customWidth="1"/>
    <col min="1017" max="1017" width="1.75" style="163" customWidth="1"/>
    <col min="1018" max="1018" width="5.375" style="163" customWidth="1"/>
    <col min="1019" max="1019" width="2.125" style="163" customWidth="1"/>
    <col min="1020" max="1020" width="0.75" style="163" customWidth="1"/>
    <col min="1021" max="1021" width="3" style="163" customWidth="1"/>
    <col min="1022" max="1022" width="2.125" style="163" customWidth="1"/>
    <col min="1023" max="1023" width="2.75" style="163" customWidth="1"/>
    <col min="1024" max="1024" width="2" style="163" customWidth="1"/>
    <col min="1025" max="1025" width="2.75" style="163" customWidth="1"/>
    <col min="1026" max="1026" width="1.875" style="163" customWidth="1"/>
    <col min="1027" max="1027" width="4.375" style="163" customWidth="1"/>
    <col min="1028" max="1028" width="12.75" style="163" customWidth="1"/>
    <col min="1029" max="1030" width="4.875" style="163" customWidth="1"/>
    <col min="1031" max="1031" width="30.625" style="163" customWidth="1"/>
    <col min="1032" max="1265" width="9" style="163"/>
    <col min="1266" max="1266" width="13" style="163" customWidth="1"/>
    <col min="1267" max="1267" width="4.625" style="163" customWidth="1"/>
    <col min="1268" max="1268" width="0" style="163" hidden="1" customWidth="1"/>
    <col min="1269" max="1269" width="4.625" style="163" customWidth="1"/>
    <col min="1270" max="1270" width="15.625" style="163" customWidth="1"/>
    <col min="1271" max="1271" width="5.125" style="163" customWidth="1"/>
    <col min="1272" max="1272" width="13.375" style="163" customWidth="1"/>
    <col min="1273" max="1273" width="1.75" style="163" customWidth="1"/>
    <col min="1274" max="1274" width="5.375" style="163" customWidth="1"/>
    <col min="1275" max="1275" width="2.125" style="163" customWidth="1"/>
    <col min="1276" max="1276" width="0.75" style="163" customWidth="1"/>
    <col min="1277" max="1277" width="3" style="163" customWidth="1"/>
    <col min="1278" max="1278" width="2.125" style="163" customWidth="1"/>
    <col min="1279" max="1279" width="2.75" style="163" customWidth="1"/>
    <col min="1280" max="1280" width="2" style="163" customWidth="1"/>
    <col min="1281" max="1281" width="2.75" style="163" customWidth="1"/>
    <col min="1282" max="1282" width="1.875" style="163" customWidth="1"/>
    <col min="1283" max="1283" width="4.375" style="163" customWidth="1"/>
    <col min="1284" max="1284" width="12.75" style="163" customWidth="1"/>
    <col min="1285" max="1286" width="4.875" style="163" customWidth="1"/>
    <col min="1287" max="1287" width="30.625" style="163" customWidth="1"/>
    <col min="1288" max="1521" width="9" style="163"/>
    <col min="1522" max="1522" width="13" style="163" customWidth="1"/>
    <col min="1523" max="1523" width="4.625" style="163" customWidth="1"/>
    <col min="1524" max="1524" width="0" style="163" hidden="1" customWidth="1"/>
    <col min="1525" max="1525" width="4.625" style="163" customWidth="1"/>
    <col min="1526" max="1526" width="15.625" style="163" customWidth="1"/>
    <col min="1527" max="1527" width="5.125" style="163" customWidth="1"/>
    <col min="1528" max="1528" width="13.375" style="163" customWidth="1"/>
    <col min="1529" max="1529" width="1.75" style="163" customWidth="1"/>
    <col min="1530" max="1530" width="5.375" style="163" customWidth="1"/>
    <col min="1531" max="1531" width="2.125" style="163" customWidth="1"/>
    <col min="1532" max="1532" width="0.75" style="163" customWidth="1"/>
    <col min="1533" max="1533" width="3" style="163" customWidth="1"/>
    <col min="1534" max="1534" width="2.125" style="163" customWidth="1"/>
    <col min="1535" max="1535" width="2.75" style="163" customWidth="1"/>
    <col min="1536" max="1536" width="2" style="163" customWidth="1"/>
    <col min="1537" max="1537" width="2.75" style="163" customWidth="1"/>
    <col min="1538" max="1538" width="1.875" style="163" customWidth="1"/>
    <col min="1539" max="1539" width="4.375" style="163" customWidth="1"/>
    <col min="1540" max="1540" width="12.75" style="163" customWidth="1"/>
    <col min="1541" max="1542" width="4.875" style="163" customWidth="1"/>
    <col min="1543" max="1543" width="30.625" style="163" customWidth="1"/>
    <col min="1544" max="1777" width="9" style="163"/>
    <col min="1778" max="1778" width="13" style="163" customWidth="1"/>
    <col min="1779" max="1779" width="4.625" style="163" customWidth="1"/>
    <col min="1780" max="1780" width="0" style="163" hidden="1" customWidth="1"/>
    <col min="1781" max="1781" width="4.625" style="163" customWidth="1"/>
    <col min="1782" max="1782" width="15.625" style="163" customWidth="1"/>
    <col min="1783" max="1783" width="5.125" style="163" customWidth="1"/>
    <col min="1784" max="1784" width="13.375" style="163" customWidth="1"/>
    <col min="1785" max="1785" width="1.75" style="163" customWidth="1"/>
    <col min="1786" max="1786" width="5.375" style="163" customWidth="1"/>
    <col min="1787" max="1787" width="2.125" style="163" customWidth="1"/>
    <col min="1788" max="1788" width="0.75" style="163" customWidth="1"/>
    <col min="1789" max="1789" width="3" style="163" customWidth="1"/>
    <col min="1790" max="1790" width="2.125" style="163" customWidth="1"/>
    <col min="1791" max="1791" width="2.75" style="163" customWidth="1"/>
    <col min="1792" max="1792" width="2" style="163" customWidth="1"/>
    <col min="1793" max="1793" width="2.75" style="163" customWidth="1"/>
    <col min="1794" max="1794" width="1.875" style="163" customWidth="1"/>
    <col min="1795" max="1795" width="4.375" style="163" customWidth="1"/>
    <col min="1796" max="1796" width="12.75" style="163" customWidth="1"/>
    <col min="1797" max="1798" width="4.875" style="163" customWidth="1"/>
    <col min="1799" max="1799" width="30.625" style="163" customWidth="1"/>
    <col min="1800" max="2033" width="9" style="163"/>
    <col min="2034" max="2034" width="13" style="163" customWidth="1"/>
    <col min="2035" max="2035" width="4.625" style="163" customWidth="1"/>
    <col min="2036" max="2036" width="0" style="163" hidden="1" customWidth="1"/>
    <col min="2037" max="2037" width="4.625" style="163" customWidth="1"/>
    <col min="2038" max="2038" width="15.625" style="163" customWidth="1"/>
    <col min="2039" max="2039" width="5.125" style="163" customWidth="1"/>
    <col min="2040" max="2040" width="13.375" style="163" customWidth="1"/>
    <col min="2041" max="2041" width="1.75" style="163" customWidth="1"/>
    <col min="2042" max="2042" width="5.375" style="163" customWidth="1"/>
    <col min="2043" max="2043" width="2.125" style="163" customWidth="1"/>
    <col min="2044" max="2044" width="0.75" style="163" customWidth="1"/>
    <col min="2045" max="2045" width="3" style="163" customWidth="1"/>
    <col min="2046" max="2046" width="2.125" style="163" customWidth="1"/>
    <col min="2047" max="2047" width="2.75" style="163" customWidth="1"/>
    <col min="2048" max="2048" width="2" style="163" customWidth="1"/>
    <col min="2049" max="2049" width="2.75" style="163" customWidth="1"/>
    <col min="2050" max="2050" width="1.875" style="163" customWidth="1"/>
    <col min="2051" max="2051" width="4.375" style="163" customWidth="1"/>
    <col min="2052" max="2052" width="12.75" style="163" customWidth="1"/>
    <col min="2053" max="2054" width="4.875" style="163" customWidth="1"/>
    <col min="2055" max="2055" width="30.625" style="163" customWidth="1"/>
    <col min="2056" max="2289" width="9" style="163"/>
    <col min="2290" max="2290" width="13" style="163" customWidth="1"/>
    <col min="2291" max="2291" width="4.625" style="163" customWidth="1"/>
    <col min="2292" max="2292" width="0" style="163" hidden="1" customWidth="1"/>
    <col min="2293" max="2293" width="4.625" style="163" customWidth="1"/>
    <col min="2294" max="2294" width="15.625" style="163" customWidth="1"/>
    <col min="2295" max="2295" width="5.125" style="163" customWidth="1"/>
    <col min="2296" max="2296" width="13.375" style="163" customWidth="1"/>
    <col min="2297" max="2297" width="1.75" style="163" customWidth="1"/>
    <col min="2298" max="2298" width="5.375" style="163" customWidth="1"/>
    <col min="2299" max="2299" width="2.125" style="163" customWidth="1"/>
    <col min="2300" max="2300" width="0.75" style="163" customWidth="1"/>
    <col min="2301" max="2301" width="3" style="163" customWidth="1"/>
    <col min="2302" max="2302" width="2.125" style="163" customWidth="1"/>
    <col min="2303" max="2303" width="2.75" style="163" customWidth="1"/>
    <col min="2304" max="2304" width="2" style="163" customWidth="1"/>
    <col min="2305" max="2305" width="2.75" style="163" customWidth="1"/>
    <col min="2306" max="2306" width="1.875" style="163" customWidth="1"/>
    <col min="2307" max="2307" width="4.375" style="163" customWidth="1"/>
    <col min="2308" max="2308" width="12.75" style="163" customWidth="1"/>
    <col min="2309" max="2310" width="4.875" style="163" customWidth="1"/>
    <col min="2311" max="2311" width="30.625" style="163" customWidth="1"/>
    <col min="2312" max="2545" width="9" style="163"/>
    <col min="2546" max="2546" width="13" style="163" customWidth="1"/>
    <col min="2547" max="2547" width="4.625" style="163" customWidth="1"/>
    <col min="2548" max="2548" width="0" style="163" hidden="1" customWidth="1"/>
    <col min="2549" max="2549" width="4.625" style="163" customWidth="1"/>
    <col min="2550" max="2550" width="15.625" style="163" customWidth="1"/>
    <col min="2551" max="2551" width="5.125" style="163" customWidth="1"/>
    <col min="2552" max="2552" width="13.375" style="163" customWidth="1"/>
    <col min="2553" max="2553" width="1.75" style="163" customWidth="1"/>
    <col min="2554" max="2554" width="5.375" style="163" customWidth="1"/>
    <col min="2555" max="2555" width="2.125" style="163" customWidth="1"/>
    <col min="2556" max="2556" width="0.75" style="163" customWidth="1"/>
    <col min="2557" max="2557" width="3" style="163" customWidth="1"/>
    <col min="2558" max="2558" width="2.125" style="163" customWidth="1"/>
    <col min="2559" max="2559" width="2.75" style="163" customWidth="1"/>
    <col min="2560" max="2560" width="2" style="163" customWidth="1"/>
    <col min="2561" max="2561" width="2.75" style="163" customWidth="1"/>
    <col min="2562" max="2562" width="1.875" style="163" customWidth="1"/>
    <col min="2563" max="2563" width="4.375" style="163" customWidth="1"/>
    <col min="2564" max="2564" width="12.75" style="163" customWidth="1"/>
    <col min="2565" max="2566" width="4.875" style="163" customWidth="1"/>
    <col min="2567" max="2567" width="30.625" style="163" customWidth="1"/>
    <col min="2568" max="2801" width="9" style="163"/>
    <col min="2802" max="2802" width="13" style="163" customWidth="1"/>
    <col min="2803" max="2803" width="4.625" style="163" customWidth="1"/>
    <col min="2804" max="2804" width="0" style="163" hidden="1" customWidth="1"/>
    <col min="2805" max="2805" width="4.625" style="163" customWidth="1"/>
    <col min="2806" max="2806" width="15.625" style="163" customWidth="1"/>
    <col min="2807" max="2807" width="5.125" style="163" customWidth="1"/>
    <col min="2808" max="2808" width="13.375" style="163" customWidth="1"/>
    <col min="2809" max="2809" width="1.75" style="163" customWidth="1"/>
    <col min="2810" max="2810" width="5.375" style="163" customWidth="1"/>
    <col min="2811" max="2811" width="2.125" style="163" customWidth="1"/>
    <col min="2812" max="2812" width="0.75" style="163" customWidth="1"/>
    <col min="2813" max="2813" width="3" style="163" customWidth="1"/>
    <col min="2814" max="2814" width="2.125" style="163" customWidth="1"/>
    <col min="2815" max="2815" width="2.75" style="163" customWidth="1"/>
    <col min="2816" max="2816" width="2" style="163" customWidth="1"/>
    <col min="2817" max="2817" width="2.75" style="163" customWidth="1"/>
    <col min="2818" max="2818" width="1.875" style="163" customWidth="1"/>
    <col min="2819" max="2819" width="4.375" style="163" customWidth="1"/>
    <col min="2820" max="2820" width="12.75" style="163" customWidth="1"/>
    <col min="2821" max="2822" width="4.875" style="163" customWidth="1"/>
    <col min="2823" max="2823" width="30.625" style="163" customWidth="1"/>
    <col min="2824" max="3057" width="9" style="163"/>
    <col min="3058" max="3058" width="13" style="163" customWidth="1"/>
    <col min="3059" max="3059" width="4.625" style="163" customWidth="1"/>
    <col min="3060" max="3060" width="0" style="163" hidden="1" customWidth="1"/>
    <col min="3061" max="3061" width="4.625" style="163" customWidth="1"/>
    <col min="3062" max="3062" width="15.625" style="163" customWidth="1"/>
    <col min="3063" max="3063" width="5.125" style="163" customWidth="1"/>
    <col min="3064" max="3064" width="13.375" style="163" customWidth="1"/>
    <col min="3065" max="3065" width="1.75" style="163" customWidth="1"/>
    <col min="3066" max="3066" width="5.375" style="163" customWidth="1"/>
    <col min="3067" max="3067" width="2.125" style="163" customWidth="1"/>
    <col min="3068" max="3068" width="0.75" style="163" customWidth="1"/>
    <col min="3069" max="3069" width="3" style="163" customWidth="1"/>
    <col min="3070" max="3070" width="2.125" style="163" customWidth="1"/>
    <col min="3071" max="3071" width="2.75" style="163" customWidth="1"/>
    <col min="3072" max="3072" width="2" style="163" customWidth="1"/>
    <col min="3073" max="3073" width="2.75" style="163" customWidth="1"/>
    <col min="3074" max="3074" width="1.875" style="163" customWidth="1"/>
    <col min="3075" max="3075" width="4.375" style="163" customWidth="1"/>
    <col min="3076" max="3076" width="12.75" style="163" customWidth="1"/>
    <col min="3077" max="3078" width="4.875" style="163" customWidth="1"/>
    <col min="3079" max="3079" width="30.625" style="163" customWidth="1"/>
    <col min="3080" max="3313" width="9" style="163"/>
    <col min="3314" max="3314" width="13" style="163" customWidth="1"/>
    <col min="3315" max="3315" width="4.625" style="163" customWidth="1"/>
    <col min="3316" max="3316" width="0" style="163" hidden="1" customWidth="1"/>
    <col min="3317" max="3317" width="4.625" style="163" customWidth="1"/>
    <col min="3318" max="3318" width="15.625" style="163" customWidth="1"/>
    <col min="3319" max="3319" width="5.125" style="163" customWidth="1"/>
    <col min="3320" max="3320" width="13.375" style="163" customWidth="1"/>
    <col min="3321" max="3321" width="1.75" style="163" customWidth="1"/>
    <col min="3322" max="3322" width="5.375" style="163" customWidth="1"/>
    <col min="3323" max="3323" width="2.125" style="163" customWidth="1"/>
    <col min="3324" max="3324" width="0.75" style="163" customWidth="1"/>
    <col min="3325" max="3325" width="3" style="163" customWidth="1"/>
    <col min="3326" max="3326" width="2.125" style="163" customWidth="1"/>
    <col min="3327" max="3327" width="2.75" style="163" customWidth="1"/>
    <col min="3328" max="3328" width="2" style="163" customWidth="1"/>
    <col min="3329" max="3329" width="2.75" style="163" customWidth="1"/>
    <col min="3330" max="3330" width="1.875" style="163" customWidth="1"/>
    <col min="3331" max="3331" width="4.375" style="163" customWidth="1"/>
    <col min="3332" max="3332" width="12.75" style="163" customWidth="1"/>
    <col min="3333" max="3334" width="4.875" style="163" customWidth="1"/>
    <col min="3335" max="3335" width="30.625" style="163" customWidth="1"/>
    <col min="3336" max="3569" width="9" style="163"/>
    <col min="3570" max="3570" width="13" style="163" customWidth="1"/>
    <col min="3571" max="3571" width="4.625" style="163" customWidth="1"/>
    <col min="3572" max="3572" width="0" style="163" hidden="1" customWidth="1"/>
    <col min="3573" max="3573" width="4.625" style="163" customWidth="1"/>
    <col min="3574" max="3574" width="15.625" style="163" customWidth="1"/>
    <col min="3575" max="3575" width="5.125" style="163" customWidth="1"/>
    <col min="3576" max="3576" width="13.375" style="163" customWidth="1"/>
    <col min="3577" max="3577" width="1.75" style="163" customWidth="1"/>
    <col min="3578" max="3578" width="5.375" style="163" customWidth="1"/>
    <col min="3579" max="3579" width="2.125" style="163" customWidth="1"/>
    <col min="3580" max="3580" width="0.75" style="163" customWidth="1"/>
    <col min="3581" max="3581" width="3" style="163" customWidth="1"/>
    <col min="3582" max="3582" width="2.125" style="163" customWidth="1"/>
    <col min="3583" max="3583" width="2.75" style="163" customWidth="1"/>
    <col min="3584" max="3584" width="2" style="163" customWidth="1"/>
    <col min="3585" max="3585" width="2.75" style="163" customWidth="1"/>
    <col min="3586" max="3586" width="1.875" style="163" customWidth="1"/>
    <col min="3587" max="3587" width="4.375" style="163" customWidth="1"/>
    <col min="3588" max="3588" width="12.75" style="163" customWidth="1"/>
    <col min="3589" max="3590" width="4.875" style="163" customWidth="1"/>
    <col min="3591" max="3591" width="30.625" style="163" customWidth="1"/>
    <col min="3592" max="3825" width="9" style="163"/>
    <col min="3826" max="3826" width="13" style="163" customWidth="1"/>
    <col min="3827" max="3827" width="4.625" style="163" customWidth="1"/>
    <col min="3828" max="3828" width="0" style="163" hidden="1" customWidth="1"/>
    <col min="3829" max="3829" width="4.625" style="163" customWidth="1"/>
    <col min="3830" max="3830" width="15.625" style="163" customWidth="1"/>
    <col min="3831" max="3831" width="5.125" style="163" customWidth="1"/>
    <col min="3832" max="3832" width="13.375" style="163" customWidth="1"/>
    <col min="3833" max="3833" width="1.75" style="163" customWidth="1"/>
    <col min="3834" max="3834" width="5.375" style="163" customWidth="1"/>
    <col min="3835" max="3835" width="2.125" style="163" customWidth="1"/>
    <col min="3836" max="3836" width="0.75" style="163" customWidth="1"/>
    <col min="3837" max="3837" width="3" style="163" customWidth="1"/>
    <col min="3838" max="3838" width="2.125" style="163" customWidth="1"/>
    <col min="3839" max="3839" width="2.75" style="163" customWidth="1"/>
    <col min="3840" max="3840" width="2" style="163" customWidth="1"/>
    <col min="3841" max="3841" width="2.75" style="163" customWidth="1"/>
    <col min="3842" max="3842" width="1.875" style="163" customWidth="1"/>
    <col min="3843" max="3843" width="4.375" style="163" customWidth="1"/>
    <col min="3844" max="3844" width="12.75" style="163" customWidth="1"/>
    <col min="3845" max="3846" width="4.875" style="163" customWidth="1"/>
    <col min="3847" max="3847" width="30.625" style="163" customWidth="1"/>
    <col min="3848" max="4081" width="9" style="163"/>
    <col min="4082" max="4082" width="13" style="163" customWidth="1"/>
    <col min="4083" max="4083" width="4.625" style="163" customWidth="1"/>
    <col min="4084" max="4084" width="0" style="163" hidden="1" customWidth="1"/>
    <col min="4085" max="4085" width="4.625" style="163" customWidth="1"/>
    <col min="4086" max="4086" width="15.625" style="163" customWidth="1"/>
    <col min="4087" max="4087" width="5.125" style="163" customWidth="1"/>
    <col min="4088" max="4088" width="13.375" style="163" customWidth="1"/>
    <col min="4089" max="4089" width="1.75" style="163" customWidth="1"/>
    <col min="4090" max="4090" width="5.375" style="163" customWidth="1"/>
    <col min="4091" max="4091" width="2.125" style="163" customWidth="1"/>
    <col min="4092" max="4092" width="0.75" style="163" customWidth="1"/>
    <col min="4093" max="4093" width="3" style="163" customWidth="1"/>
    <col min="4094" max="4094" width="2.125" style="163" customWidth="1"/>
    <col min="4095" max="4095" width="2.75" style="163" customWidth="1"/>
    <col min="4096" max="4096" width="2" style="163" customWidth="1"/>
    <col min="4097" max="4097" width="2.75" style="163" customWidth="1"/>
    <col min="4098" max="4098" width="1.875" style="163" customWidth="1"/>
    <col min="4099" max="4099" width="4.375" style="163" customWidth="1"/>
    <col min="4100" max="4100" width="12.75" style="163" customWidth="1"/>
    <col min="4101" max="4102" width="4.875" style="163" customWidth="1"/>
    <col min="4103" max="4103" width="30.625" style="163" customWidth="1"/>
    <col min="4104" max="4337" width="9" style="163"/>
    <col min="4338" max="4338" width="13" style="163" customWidth="1"/>
    <col min="4339" max="4339" width="4.625" style="163" customWidth="1"/>
    <col min="4340" max="4340" width="0" style="163" hidden="1" customWidth="1"/>
    <col min="4341" max="4341" width="4.625" style="163" customWidth="1"/>
    <col min="4342" max="4342" width="15.625" style="163" customWidth="1"/>
    <col min="4343" max="4343" width="5.125" style="163" customWidth="1"/>
    <col min="4344" max="4344" width="13.375" style="163" customWidth="1"/>
    <col min="4345" max="4345" width="1.75" style="163" customWidth="1"/>
    <col min="4346" max="4346" width="5.375" style="163" customWidth="1"/>
    <col min="4347" max="4347" width="2.125" style="163" customWidth="1"/>
    <col min="4348" max="4348" width="0.75" style="163" customWidth="1"/>
    <col min="4349" max="4349" width="3" style="163" customWidth="1"/>
    <col min="4350" max="4350" width="2.125" style="163" customWidth="1"/>
    <col min="4351" max="4351" width="2.75" style="163" customWidth="1"/>
    <col min="4352" max="4352" width="2" style="163" customWidth="1"/>
    <col min="4353" max="4353" width="2.75" style="163" customWidth="1"/>
    <col min="4354" max="4354" width="1.875" style="163" customWidth="1"/>
    <col min="4355" max="4355" width="4.375" style="163" customWidth="1"/>
    <col min="4356" max="4356" width="12.75" style="163" customWidth="1"/>
    <col min="4357" max="4358" width="4.875" style="163" customWidth="1"/>
    <col min="4359" max="4359" width="30.625" style="163" customWidth="1"/>
    <col min="4360" max="4593" width="9" style="163"/>
    <col min="4594" max="4594" width="13" style="163" customWidth="1"/>
    <col min="4595" max="4595" width="4.625" style="163" customWidth="1"/>
    <col min="4596" max="4596" width="0" style="163" hidden="1" customWidth="1"/>
    <col min="4597" max="4597" width="4.625" style="163" customWidth="1"/>
    <col min="4598" max="4598" width="15.625" style="163" customWidth="1"/>
    <col min="4599" max="4599" width="5.125" style="163" customWidth="1"/>
    <col min="4600" max="4600" width="13.375" style="163" customWidth="1"/>
    <col min="4601" max="4601" width="1.75" style="163" customWidth="1"/>
    <col min="4602" max="4602" width="5.375" style="163" customWidth="1"/>
    <col min="4603" max="4603" width="2.125" style="163" customWidth="1"/>
    <col min="4604" max="4604" width="0.75" style="163" customWidth="1"/>
    <col min="4605" max="4605" width="3" style="163" customWidth="1"/>
    <col min="4606" max="4606" width="2.125" style="163" customWidth="1"/>
    <col min="4607" max="4607" width="2.75" style="163" customWidth="1"/>
    <col min="4608" max="4608" width="2" style="163" customWidth="1"/>
    <col min="4609" max="4609" width="2.75" style="163" customWidth="1"/>
    <col min="4610" max="4610" width="1.875" style="163" customWidth="1"/>
    <col min="4611" max="4611" width="4.375" style="163" customWidth="1"/>
    <col min="4612" max="4612" width="12.75" style="163" customWidth="1"/>
    <col min="4613" max="4614" width="4.875" style="163" customWidth="1"/>
    <col min="4615" max="4615" width="30.625" style="163" customWidth="1"/>
    <col min="4616" max="4849" width="9" style="163"/>
    <col min="4850" max="4850" width="13" style="163" customWidth="1"/>
    <col min="4851" max="4851" width="4.625" style="163" customWidth="1"/>
    <col min="4852" max="4852" width="0" style="163" hidden="1" customWidth="1"/>
    <col min="4853" max="4853" width="4.625" style="163" customWidth="1"/>
    <col min="4854" max="4854" width="15.625" style="163" customWidth="1"/>
    <col min="4855" max="4855" width="5.125" style="163" customWidth="1"/>
    <col min="4856" max="4856" width="13.375" style="163" customWidth="1"/>
    <col min="4857" max="4857" width="1.75" style="163" customWidth="1"/>
    <col min="4858" max="4858" width="5.375" style="163" customWidth="1"/>
    <col min="4859" max="4859" width="2.125" style="163" customWidth="1"/>
    <col min="4860" max="4860" width="0.75" style="163" customWidth="1"/>
    <col min="4861" max="4861" width="3" style="163" customWidth="1"/>
    <col min="4862" max="4862" width="2.125" style="163" customWidth="1"/>
    <col min="4863" max="4863" width="2.75" style="163" customWidth="1"/>
    <col min="4864" max="4864" width="2" style="163" customWidth="1"/>
    <col min="4865" max="4865" width="2.75" style="163" customWidth="1"/>
    <col min="4866" max="4866" width="1.875" style="163" customWidth="1"/>
    <col min="4867" max="4867" width="4.375" style="163" customWidth="1"/>
    <col min="4868" max="4868" width="12.75" style="163" customWidth="1"/>
    <col min="4869" max="4870" width="4.875" style="163" customWidth="1"/>
    <col min="4871" max="4871" width="30.625" style="163" customWidth="1"/>
    <col min="4872" max="5105" width="9" style="163"/>
    <col min="5106" max="5106" width="13" style="163" customWidth="1"/>
    <col min="5107" max="5107" width="4.625" style="163" customWidth="1"/>
    <col min="5108" max="5108" width="0" style="163" hidden="1" customWidth="1"/>
    <col min="5109" max="5109" width="4.625" style="163" customWidth="1"/>
    <col min="5110" max="5110" width="15.625" style="163" customWidth="1"/>
    <col min="5111" max="5111" width="5.125" style="163" customWidth="1"/>
    <col min="5112" max="5112" width="13.375" style="163" customWidth="1"/>
    <col min="5113" max="5113" width="1.75" style="163" customWidth="1"/>
    <col min="5114" max="5114" width="5.375" style="163" customWidth="1"/>
    <col min="5115" max="5115" width="2.125" style="163" customWidth="1"/>
    <col min="5116" max="5116" width="0.75" style="163" customWidth="1"/>
    <col min="5117" max="5117" width="3" style="163" customWidth="1"/>
    <col min="5118" max="5118" width="2.125" style="163" customWidth="1"/>
    <col min="5119" max="5119" width="2.75" style="163" customWidth="1"/>
    <col min="5120" max="5120" width="2" style="163" customWidth="1"/>
    <col min="5121" max="5121" width="2.75" style="163" customWidth="1"/>
    <col min="5122" max="5122" width="1.875" style="163" customWidth="1"/>
    <col min="5123" max="5123" width="4.375" style="163" customWidth="1"/>
    <col min="5124" max="5124" width="12.75" style="163" customWidth="1"/>
    <col min="5125" max="5126" width="4.875" style="163" customWidth="1"/>
    <col min="5127" max="5127" width="30.625" style="163" customWidth="1"/>
    <col min="5128" max="5361" width="9" style="163"/>
    <col min="5362" max="5362" width="13" style="163" customWidth="1"/>
    <col min="5363" max="5363" width="4.625" style="163" customWidth="1"/>
    <col min="5364" max="5364" width="0" style="163" hidden="1" customWidth="1"/>
    <col min="5365" max="5365" width="4.625" style="163" customWidth="1"/>
    <col min="5366" max="5366" width="15.625" style="163" customWidth="1"/>
    <col min="5367" max="5367" width="5.125" style="163" customWidth="1"/>
    <col min="5368" max="5368" width="13.375" style="163" customWidth="1"/>
    <col min="5369" max="5369" width="1.75" style="163" customWidth="1"/>
    <col min="5370" max="5370" width="5.375" style="163" customWidth="1"/>
    <col min="5371" max="5371" width="2.125" style="163" customWidth="1"/>
    <col min="5372" max="5372" width="0.75" style="163" customWidth="1"/>
    <col min="5373" max="5373" width="3" style="163" customWidth="1"/>
    <col min="5374" max="5374" width="2.125" style="163" customWidth="1"/>
    <col min="5375" max="5375" width="2.75" style="163" customWidth="1"/>
    <col min="5376" max="5376" width="2" style="163" customWidth="1"/>
    <col min="5377" max="5377" width="2.75" style="163" customWidth="1"/>
    <col min="5378" max="5378" width="1.875" style="163" customWidth="1"/>
    <col min="5379" max="5379" width="4.375" style="163" customWidth="1"/>
    <col min="5380" max="5380" width="12.75" style="163" customWidth="1"/>
    <col min="5381" max="5382" width="4.875" style="163" customWidth="1"/>
    <col min="5383" max="5383" width="30.625" style="163" customWidth="1"/>
    <col min="5384" max="5617" width="9" style="163"/>
    <col min="5618" max="5618" width="13" style="163" customWidth="1"/>
    <col min="5619" max="5619" width="4.625" style="163" customWidth="1"/>
    <col min="5620" max="5620" width="0" style="163" hidden="1" customWidth="1"/>
    <col min="5621" max="5621" width="4.625" style="163" customWidth="1"/>
    <col min="5622" max="5622" width="15.625" style="163" customWidth="1"/>
    <col min="5623" max="5623" width="5.125" style="163" customWidth="1"/>
    <col min="5624" max="5624" width="13.375" style="163" customWidth="1"/>
    <col min="5625" max="5625" width="1.75" style="163" customWidth="1"/>
    <col min="5626" max="5626" width="5.375" style="163" customWidth="1"/>
    <col min="5627" max="5627" width="2.125" style="163" customWidth="1"/>
    <col min="5628" max="5628" width="0.75" style="163" customWidth="1"/>
    <col min="5629" max="5629" width="3" style="163" customWidth="1"/>
    <col min="5630" max="5630" width="2.125" style="163" customWidth="1"/>
    <col min="5631" max="5631" width="2.75" style="163" customWidth="1"/>
    <col min="5632" max="5632" width="2" style="163" customWidth="1"/>
    <col min="5633" max="5633" width="2.75" style="163" customWidth="1"/>
    <col min="5634" max="5634" width="1.875" style="163" customWidth="1"/>
    <col min="5635" max="5635" width="4.375" style="163" customWidth="1"/>
    <col min="5636" max="5636" width="12.75" style="163" customWidth="1"/>
    <col min="5637" max="5638" width="4.875" style="163" customWidth="1"/>
    <col min="5639" max="5639" width="30.625" style="163" customWidth="1"/>
    <col min="5640" max="5873" width="9" style="163"/>
    <col min="5874" max="5874" width="13" style="163" customWidth="1"/>
    <col min="5875" max="5875" width="4.625" style="163" customWidth="1"/>
    <col min="5876" max="5876" width="0" style="163" hidden="1" customWidth="1"/>
    <col min="5877" max="5877" width="4.625" style="163" customWidth="1"/>
    <col min="5878" max="5878" width="15.625" style="163" customWidth="1"/>
    <col min="5879" max="5879" width="5.125" style="163" customWidth="1"/>
    <col min="5880" max="5880" width="13.375" style="163" customWidth="1"/>
    <col min="5881" max="5881" width="1.75" style="163" customWidth="1"/>
    <col min="5882" max="5882" width="5.375" style="163" customWidth="1"/>
    <col min="5883" max="5883" width="2.125" style="163" customWidth="1"/>
    <col min="5884" max="5884" width="0.75" style="163" customWidth="1"/>
    <col min="5885" max="5885" width="3" style="163" customWidth="1"/>
    <col min="5886" max="5886" width="2.125" style="163" customWidth="1"/>
    <col min="5887" max="5887" width="2.75" style="163" customWidth="1"/>
    <col min="5888" max="5888" width="2" style="163" customWidth="1"/>
    <col min="5889" max="5889" width="2.75" style="163" customWidth="1"/>
    <col min="5890" max="5890" width="1.875" style="163" customWidth="1"/>
    <col min="5891" max="5891" width="4.375" style="163" customWidth="1"/>
    <col min="5892" max="5892" width="12.75" style="163" customWidth="1"/>
    <col min="5893" max="5894" width="4.875" style="163" customWidth="1"/>
    <col min="5895" max="5895" width="30.625" style="163" customWidth="1"/>
    <col min="5896" max="6129" width="9" style="163"/>
    <col min="6130" max="6130" width="13" style="163" customWidth="1"/>
    <col min="6131" max="6131" width="4.625" style="163" customWidth="1"/>
    <col min="6132" max="6132" width="0" style="163" hidden="1" customWidth="1"/>
    <col min="6133" max="6133" width="4.625" style="163" customWidth="1"/>
    <col min="6134" max="6134" width="15.625" style="163" customWidth="1"/>
    <col min="6135" max="6135" width="5.125" style="163" customWidth="1"/>
    <col min="6136" max="6136" width="13.375" style="163" customWidth="1"/>
    <col min="6137" max="6137" width="1.75" style="163" customWidth="1"/>
    <col min="6138" max="6138" width="5.375" style="163" customWidth="1"/>
    <col min="6139" max="6139" width="2.125" style="163" customWidth="1"/>
    <col min="6140" max="6140" width="0.75" style="163" customWidth="1"/>
    <col min="6141" max="6141" width="3" style="163" customWidth="1"/>
    <col min="6142" max="6142" width="2.125" style="163" customWidth="1"/>
    <col min="6143" max="6143" width="2.75" style="163" customWidth="1"/>
    <col min="6144" max="6144" width="2" style="163" customWidth="1"/>
    <col min="6145" max="6145" width="2.75" style="163" customWidth="1"/>
    <col min="6146" max="6146" width="1.875" style="163" customWidth="1"/>
    <col min="6147" max="6147" width="4.375" style="163" customWidth="1"/>
    <col min="6148" max="6148" width="12.75" style="163" customWidth="1"/>
    <col min="6149" max="6150" width="4.875" style="163" customWidth="1"/>
    <col min="6151" max="6151" width="30.625" style="163" customWidth="1"/>
    <col min="6152" max="6385" width="9" style="163"/>
    <col min="6386" max="6386" width="13" style="163" customWidth="1"/>
    <col min="6387" max="6387" width="4.625" style="163" customWidth="1"/>
    <col min="6388" max="6388" width="0" style="163" hidden="1" customWidth="1"/>
    <col min="6389" max="6389" width="4.625" style="163" customWidth="1"/>
    <col min="6390" max="6390" width="15.625" style="163" customWidth="1"/>
    <col min="6391" max="6391" width="5.125" style="163" customWidth="1"/>
    <col min="6392" max="6392" width="13.375" style="163" customWidth="1"/>
    <col min="6393" max="6393" width="1.75" style="163" customWidth="1"/>
    <col min="6394" max="6394" width="5.375" style="163" customWidth="1"/>
    <col min="6395" max="6395" width="2.125" style="163" customWidth="1"/>
    <col min="6396" max="6396" width="0.75" style="163" customWidth="1"/>
    <col min="6397" max="6397" width="3" style="163" customWidth="1"/>
    <col min="6398" max="6398" width="2.125" style="163" customWidth="1"/>
    <col min="6399" max="6399" width="2.75" style="163" customWidth="1"/>
    <col min="6400" max="6400" width="2" style="163" customWidth="1"/>
    <col min="6401" max="6401" width="2.75" style="163" customWidth="1"/>
    <col min="6402" max="6402" width="1.875" style="163" customWidth="1"/>
    <col min="6403" max="6403" width="4.375" style="163" customWidth="1"/>
    <col min="6404" max="6404" width="12.75" style="163" customWidth="1"/>
    <col min="6405" max="6406" width="4.875" style="163" customWidth="1"/>
    <col min="6407" max="6407" width="30.625" style="163" customWidth="1"/>
    <col min="6408" max="6641" width="9" style="163"/>
    <col min="6642" max="6642" width="13" style="163" customWidth="1"/>
    <col min="6643" max="6643" width="4.625" style="163" customWidth="1"/>
    <col min="6644" max="6644" width="0" style="163" hidden="1" customWidth="1"/>
    <col min="6645" max="6645" width="4.625" style="163" customWidth="1"/>
    <col min="6646" max="6646" width="15.625" style="163" customWidth="1"/>
    <col min="6647" max="6647" width="5.125" style="163" customWidth="1"/>
    <col min="6648" max="6648" width="13.375" style="163" customWidth="1"/>
    <col min="6649" max="6649" width="1.75" style="163" customWidth="1"/>
    <col min="6650" max="6650" width="5.375" style="163" customWidth="1"/>
    <col min="6651" max="6651" width="2.125" style="163" customWidth="1"/>
    <col min="6652" max="6652" width="0.75" style="163" customWidth="1"/>
    <col min="6653" max="6653" width="3" style="163" customWidth="1"/>
    <col min="6654" max="6654" width="2.125" style="163" customWidth="1"/>
    <col min="6655" max="6655" width="2.75" style="163" customWidth="1"/>
    <col min="6656" max="6656" width="2" style="163" customWidth="1"/>
    <col min="6657" max="6657" width="2.75" style="163" customWidth="1"/>
    <col min="6658" max="6658" width="1.875" style="163" customWidth="1"/>
    <col min="6659" max="6659" width="4.375" style="163" customWidth="1"/>
    <col min="6660" max="6660" width="12.75" style="163" customWidth="1"/>
    <col min="6661" max="6662" width="4.875" style="163" customWidth="1"/>
    <col min="6663" max="6663" width="30.625" style="163" customWidth="1"/>
    <col min="6664" max="6897" width="9" style="163"/>
    <col min="6898" max="6898" width="13" style="163" customWidth="1"/>
    <col min="6899" max="6899" width="4.625" style="163" customWidth="1"/>
    <col min="6900" max="6900" width="0" style="163" hidden="1" customWidth="1"/>
    <col min="6901" max="6901" width="4.625" style="163" customWidth="1"/>
    <col min="6902" max="6902" width="15.625" style="163" customWidth="1"/>
    <col min="6903" max="6903" width="5.125" style="163" customWidth="1"/>
    <col min="6904" max="6904" width="13.375" style="163" customWidth="1"/>
    <col min="6905" max="6905" width="1.75" style="163" customWidth="1"/>
    <col min="6906" max="6906" width="5.375" style="163" customWidth="1"/>
    <col min="6907" max="6907" width="2.125" style="163" customWidth="1"/>
    <col min="6908" max="6908" width="0.75" style="163" customWidth="1"/>
    <col min="6909" max="6909" width="3" style="163" customWidth="1"/>
    <col min="6910" max="6910" width="2.125" style="163" customWidth="1"/>
    <col min="6911" max="6911" width="2.75" style="163" customWidth="1"/>
    <col min="6912" max="6912" width="2" style="163" customWidth="1"/>
    <col min="6913" max="6913" width="2.75" style="163" customWidth="1"/>
    <col min="6914" max="6914" width="1.875" style="163" customWidth="1"/>
    <col min="6915" max="6915" width="4.375" style="163" customWidth="1"/>
    <col min="6916" max="6916" width="12.75" style="163" customWidth="1"/>
    <col min="6917" max="6918" width="4.875" style="163" customWidth="1"/>
    <col min="6919" max="6919" width="30.625" style="163" customWidth="1"/>
    <col min="6920" max="7153" width="9" style="163"/>
    <col min="7154" max="7154" width="13" style="163" customWidth="1"/>
    <col min="7155" max="7155" width="4.625" style="163" customWidth="1"/>
    <col min="7156" max="7156" width="0" style="163" hidden="1" customWidth="1"/>
    <col min="7157" max="7157" width="4.625" style="163" customWidth="1"/>
    <col min="7158" max="7158" width="15.625" style="163" customWidth="1"/>
    <col min="7159" max="7159" width="5.125" style="163" customWidth="1"/>
    <col min="7160" max="7160" width="13.375" style="163" customWidth="1"/>
    <col min="7161" max="7161" width="1.75" style="163" customWidth="1"/>
    <col min="7162" max="7162" width="5.375" style="163" customWidth="1"/>
    <col min="7163" max="7163" width="2.125" style="163" customWidth="1"/>
    <col min="7164" max="7164" width="0.75" style="163" customWidth="1"/>
    <col min="7165" max="7165" width="3" style="163" customWidth="1"/>
    <col min="7166" max="7166" width="2.125" style="163" customWidth="1"/>
    <col min="7167" max="7167" width="2.75" style="163" customWidth="1"/>
    <col min="7168" max="7168" width="2" style="163" customWidth="1"/>
    <col min="7169" max="7169" width="2.75" style="163" customWidth="1"/>
    <col min="7170" max="7170" width="1.875" style="163" customWidth="1"/>
    <col min="7171" max="7171" width="4.375" style="163" customWidth="1"/>
    <col min="7172" max="7172" width="12.75" style="163" customWidth="1"/>
    <col min="7173" max="7174" width="4.875" style="163" customWidth="1"/>
    <col min="7175" max="7175" width="30.625" style="163" customWidth="1"/>
    <col min="7176" max="7409" width="9" style="163"/>
    <col min="7410" max="7410" width="13" style="163" customWidth="1"/>
    <col min="7411" max="7411" width="4.625" style="163" customWidth="1"/>
    <col min="7412" max="7412" width="0" style="163" hidden="1" customWidth="1"/>
    <col min="7413" max="7413" width="4.625" style="163" customWidth="1"/>
    <col min="7414" max="7414" width="15.625" style="163" customWidth="1"/>
    <col min="7415" max="7415" width="5.125" style="163" customWidth="1"/>
    <col min="7416" max="7416" width="13.375" style="163" customWidth="1"/>
    <col min="7417" max="7417" width="1.75" style="163" customWidth="1"/>
    <col min="7418" max="7418" width="5.375" style="163" customWidth="1"/>
    <col min="7419" max="7419" width="2.125" style="163" customWidth="1"/>
    <col min="7420" max="7420" width="0.75" style="163" customWidth="1"/>
    <col min="7421" max="7421" width="3" style="163" customWidth="1"/>
    <col min="7422" max="7422" width="2.125" style="163" customWidth="1"/>
    <col min="7423" max="7423" width="2.75" style="163" customWidth="1"/>
    <col min="7424" max="7424" width="2" style="163" customWidth="1"/>
    <col min="7425" max="7425" width="2.75" style="163" customWidth="1"/>
    <col min="7426" max="7426" width="1.875" style="163" customWidth="1"/>
    <col min="7427" max="7427" width="4.375" style="163" customWidth="1"/>
    <col min="7428" max="7428" width="12.75" style="163" customWidth="1"/>
    <col min="7429" max="7430" width="4.875" style="163" customWidth="1"/>
    <col min="7431" max="7431" width="30.625" style="163" customWidth="1"/>
    <col min="7432" max="7665" width="9" style="163"/>
    <col min="7666" max="7666" width="13" style="163" customWidth="1"/>
    <col min="7667" max="7667" width="4.625" style="163" customWidth="1"/>
    <col min="7668" max="7668" width="0" style="163" hidden="1" customWidth="1"/>
    <col min="7669" max="7669" width="4.625" style="163" customWidth="1"/>
    <col min="7670" max="7670" width="15.625" style="163" customWidth="1"/>
    <col min="7671" max="7671" width="5.125" style="163" customWidth="1"/>
    <col min="7672" max="7672" width="13.375" style="163" customWidth="1"/>
    <col min="7673" max="7673" width="1.75" style="163" customWidth="1"/>
    <col min="7674" max="7674" width="5.375" style="163" customWidth="1"/>
    <col min="7675" max="7675" width="2.125" style="163" customWidth="1"/>
    <col min="7676" max="7676" width="0.75" style="163" customWidth="1"/>
    <col min="7677" max="7677" width="3" style="163" customWidth="1"/>
    <col min="7678" max="7678" width="2.125" style="163" customWidth="1"/>
    <col min="7679" max="7679" width="2.75" style="163" customWidth="1"/>
    <col min="7680" max="7680" width="2" style="163" customWidth="1"/>
    <col min="7681" max="7681" width="2.75" style="163" customWidth="1"/>
    <col min="7682" max="7682" width="1.875" style="163" customWidth="1"/>
    <col min="7683" max="7683" width="4.375" style="163" customWidth="1"/>
    <col min="7684" max="7684" width="12.75" style="163" customWidth="1"/>
    <col min="7685" max="7686" width="4.875" style="163" customWidth="1"/>
    <col min="7687" max="7687" width="30.625" style="163" customWidth="1"/>
    <col min="7688" max="7921" width="9" style="163"/>
    <col min="7922" max="7922" width="13" style="163" customWidth="1"/>
    <col min="7923" max="7923" width="4.625" style="163" customWidth="1"/>
    <col min="7924" max="7924" width="0" style="163" hidden="1" customWidth="1"/>
    <col min="7925" max="7925" width="4.625" style="163" customWidth="1"/>
    <col min="7926" max="7926" width="15.625" style="163" customWidth="1"/>
    <col min="7927" max="7927" width="5.125" style="163" customWidth="1"/>
    <col min="7928" max="7928" width="13.375" style="163" customWidth="1"/>
    <col min="7929" max="7929" width="1.75" style="163" customWidth="1"/>
    <col min="7930" max="7930" width="5.375" style="163" customWidth="1"/>
    <col min="7931" max="7931" width="2.125" style="163" customWidth="1"/>
    <col min="7932" max="7932" width="0.75" style="163" customWidth="1"/>
    <col min="7933" max="7933" width="3" style="163" customWidth="1"/>
    <col min="7934" max="7934" width="2.125" style="163" customWidth="1"/>
    <col min="7935" max="7935" width="2.75" style="163" customWidth="1"/>
    <col min="7936" max="7936" width="2" style="163" customWidth="1"/>
    <col min="7937" max="7937" width="2.75" style="163" customWidth="1"/>
    <col min="7938" max="7938" width="1.875" style="163" customWidth="1"/>
    <col min="7939" max="7939" width="4.375" style="163" customWidth="1"/>
    <col min="7940" max="7940" width="12.75" style="163" customWidth="1"/>
    <col min="7941" max="7942" width="4.875" style="163" customWidth="1"/>
    <col min="7943" max="7943" width="30.625" style="163" customWidth="1"/>
    <col min="7944" max="8177" width="9" style="163"/>
    <col min="8178" max="8178" width="13" style="163" customWidth="1"/>
    <col min="8179" max="8179" width="4.625" style="163" customWidth="1"/>
    <col min="8180" max="8180" width="0" style="163" hidden="1" customWidth="1"/>
    <col min="8181" max="8181" width="4.625" style="163" customWidth="1"/>
    <col min="8182" max="8182" width="15.625" style="163" customWidth="1"/>
    <col min="8183" max="8183" width="5.125" style="163" customWidth="1"/>
    <col min="8184" max="8184" width="13.375" style="163" customWidth="1"/>
    <col min="8185" max="8185" width="1.75" style="163" customWidth="1"/>
    <col min="8186" max="8186" width="5.375" style="163" customWidth="1"/>
    <col min="8187" max="8187" width="2.125" style="163" customWidth="1"/>
    <col min="8188" max="8188" width="0.75" style="163" customWidth="1"/>
    <col min="8189" max="8189" width="3" style="163" customWidth="1"/>
    <col min="8190" max="8190" width="2.125" style="163" customWidth="1"/>
    <col min="8191" max="8191" width="2.75" style="163" customWidth="1"/>
    <col min="8192" max="8192" width="2" style="163" customWidth="1"/>
    <col min="8193" max="8193" width="2.75" style="163" customWidth="1"/>
    <col min="8194" max="8194" width="1.875" style="163" customWidth="1"/>
    <col min="8195" max="8195" width="4.375" style="163" customWidth="1"/>
    <col min="8196" max="8196" width="12.75" style="163" customWidth="1"/>
    <col min="8197" max="8198" width="4.875" style="163" customWidth="1"/>
    <col min="8199" max="8199" width="30.625" style="163" customWidth="1"/>
    <col min="8200" max="8433" width="9" style="163"/>
    <col min="8434" max="8434" width="13" style="163" customWidth="1"/>
    <col min="8435" max="8435" width="4.625" style="163" customWidth="1"/>
    <col min="8436" max="8436" width="0" style="163" hidden="1" customWidth="1"/>
    <col min="8437" max="8437" width="4.625" style="163" customWidth="1"/>
    <col min="8438" max="8438" width="15.625" style="163" customWidth="1"/>
    <col min="8439" max="8439" width="5.125" style="163" customWidth="1"/>
    <col min="8440" max="8440" width="13.375" style="163" customWidth="1"/>
    <col min="8441" max="8441" width="1.75" style="163" customWidth="1"/>
    <col min="8442" max="8442" width="5.375" style="163" customWidth="1"/>
    <col min="8443" max="8443" width="2.125" style="163" customWidth="1"/>
    <col min="8444" max="8444" width="0.75" style="163" customWidth="1"/>
    <col min="8445" max="8445" width="3" style="163" customWidth="1"/>
    <col min="8446" max="8446" width="2.125" style="163" customWidth="1"/>
    <col min="8447" max="8447" width="2.75" style="163" customWidth="1"/>
    <col min="8448" max="8448" width="2" style="163" customWidth="1"/>
    <col min="8449" max="8449" width="2.75" style="163" customWidth="1"/>
    <col min="8450" max="8450" width="1.875" style="163" customWidth="1"/>
    <col min="8451" max="8451" width="4.375" style="163" customWidth="1"/>
    <col min="8452" max="8452" width="12.75" style="163" customWidth="1"/>
    <col min="8453" max="8454" width="4.875" style="163" customWidth="1"/>
    <col min="8455" max="8455" width="30.625" style="163" customWidth="1"/>
    <col min="8456" max="8689" width="9" style="163"/>
    <col min="8690" max="8690" width="13" style="163" customWidth="1"/>
    <col min="8691" max="8691" width="4.625" style="163" customWidth="1"/>
    <col min="8692" max="8692" width="0" style="163" hidden="1" customWidth="1"/>
    <col min="8693" max="8693" width="4.625" style="163" customWidth="1"/>
    <col min="8694" max="8694" width="15.625" style="163" customWidth="1"/>
    <col min="8695" max="8695" width="5.125" style="163" customWidth="1"/>
    <col min="8696" max="8696" width="13.375" style="163" customWidth="1"/>
    <col min="8697" max="8697" width="1.75" style="163" customWidth="1"/>
    <col min="8698" max="8698" width="5.375" style="163" customWidth="1"/>
    <col min="8699" max="8699" width="2.125" style="163" customWidth="1"/>
    <col min="8700" max="8700" width="0.75" style="163" customWidth="1"/>
    <col min="8701" max="8701" width="3" style="163" customWidth="1"/>
    <col min="8702" max="8702" width="2.125" style="163" customWidth="1"/>
    <col min="8703" max="8703" width="2.75" style="163" customWidth="1"/>
    <col min="8704" max="8704" width="2" style="163" customWidth="1"/>
    <col min="8705" max="8705" width="2.75" style="163" customWidth="1"/>
    <col min="8706" max="8706" width="1.875" style="163" customWidth="1"/>
    <col min="8707" max="8707" width="4.375" style="163" customWidth="1"/>
    <col min="8708" max="8708" width="12.75" style="163" customWidth="1"/>
    <col min="8709" max="8710" width="4.875" style="163" customWidth="1"/>
    <col min="8711" max="8711" width="30.625" style="163" customWidth="1"/>
    <col min="8712" max="8945" width="9" style="163"/>
    <col min="8946" max="8946" width="13" style="163" customWidth="1"/>
    <col min="8947" max="8947" width="4.625" style="163" customWidth="1"/>
    <col min="8948" max="8948" width="0" style="163" hidden="1" customWidth="1"/>
    <col min="8949" max="8949" width="4.625" style="163" customWidth="1"/>
    <col min="8950" max="8950" width="15.625" style="163" customWidth="1"/>
    <col min="8951" max="8951" width="5.125" style="163" customWidth="1"/>
    <col min="8952" max="8952" width="13.375" style="163" customWidth="1"/>
    <col min="8953" max="8953" width="1.75" style="163" customWidth="1"/>
    <col min="8954" max="8954" width="5.375" style="163" customWidth="1"/>
    <col min="8955" max="8955" width="2.125" style="163" customWidth="1"/>
    <col min="8956" max="8956" width="0.75" style="163" customWidth="1"/>
    <col min="8957" max="8957" width="3" style="163" customWidth="1"/>
    <col min="8958" max="8958" width="2.125" style="163" customWidth="1"/>
    <col min="8959" max="8959" width="2.75" style="163" customWidth="1"/>
    <col min="8960" max="8960" width="2" style="163" customWidth="1"/>
    <col min="8961" max="8961" width="2.75" style="163" customWidth="1"/>
    <col min="8962" max="8962" width="1.875" style="163" customWidth="1"/>
    <col min="8963" max="8963" width="4.375" style="163" customWidth="1"/>
    <col min="8964" max="8964" width="12.75" style="163" customWidth="1"/>
    <col min="8965" max="8966" width="4.875" style="163" customWidth="1"/>
    <col min="8967" max="8967" width="30.625" style="163" customWidth="1"/>
    <col min="8968" max="9201" width="9" style="163"/>
    <col min="9202" max="9202" width="13" style="163" customWidth="1"/>
    <col min="9203" max="9203" width="4.625" style="163" customWidth="1"/>
    <col min="9204" max="9204" width="0" style="163" hidden="1" customWidth="1"/>
    <col min="9205" max="9205" width="4.625" style="163" customWidth="1"/>
    <col min="9206" max="9206" width="15.625" style="163" customWidth="1"/>
    <col min="9207" max="9207" width="5.125" style="163" customWidth="1"/>
    <col min="9208" max="9208" width="13.375" style="163" customWidth="1"/>
    <col min="9209" max="9209" width="1.75" style="163" customWidth="1"/>
    <col min="9210" max="9210" width="5.375" style="163" customWidth="1"/>
    <col min="9211" max="9211" width="2.125" style="163" customWidth="1"/>
    <col min="9212" max="9212" width="0.75" style="163" customWidth="1"/>
    <col min="9213" max="9213" width="3" style="163" customWidth="1"/>
    <col min="9214" max="9214" width="2.125" style="163" customWidth="1"/>
    <col min="9215" max="9215" width="2.75" style="163" customWidth="1"/>
    <col min="9216" max="9216" width="2" style="163" customWidth="1"/>
    <col min="9217" max="9217" width="2.75" style="163" customWidth="1"/>
    <col min="9218" max="9218" width="1.875" style="163" customWidth="1"/>
    <col min="9219" max="9219" width="4.375" style="163" customWidth="1"/>
    <col min="9220" max="9220" width="12.75" style="163" customWidth="1"/>
    <col min="9221" max="9222" width="4.875" style="163" customWidth="1"/>
    <col min="9223" max="9223" width="30.625" style="163" customWidth="1"/>
    <col min="9224" max="9457" width="9" style="163"/>
    <col min="9458" max="9458" width="13" style="163" customWidth="1"/>
    <col min="9459" max="9459" width="4.625" style="163" customWidth="1"/>
    <col min="9460" max="9460" width="0" style="163" hidden="1" customWidth="1"/>
    <col min="9461" max="9461" width="4.625" style="163" customWidth="1"/>
    <col min="9462" max="9462" width="15.625" style="163" customWidth="1"/>
    <col min="9463" max="9463" width="5.125" style="163" customWidth="1"/>
    <col min="9464" max="9464" width="13.375" style="163" customWidth="1"/>
    <col min="9465" max="9465" width="1.75" style="163" customWidth="1"/>
    <col min="9466" max="9466" width="5.375" style="163" customWidth="1"/>
    <col min="9467" max="9467" width="2.125" style="163" customWidth="1"/>
    <col min="9468" max="9468" width="0.75" style="163" customWidth="1"/>
    <col min="9469" max="9469" width="3" style="163" customWidth="1"/>
    <col min="9470" max="9470" width="2.125" style="163" customWidth="1"/>
    <col min="9471" max="9471" width="2.75" style="163" customWidth="1"/>
    <col min="9472" max="9472" width="2" style="163" customWidth="1"/>
    <col min="9473" max="9473" width="2.75" style="163" customWidth="1"/>
    <col min="9474" max="9474" width="1.875" style="163" customWidth="1"/>
    <col min="9475" max="9475" width="4.375" style="163" customWidth="1"/>
    <col min="9476" max="9476" width="12.75" style="163" customWidth="1"/>
    <col min="9477" max="9478" width="4.875" style="163" customWidth="1"/>
    <col min="9479" max="9479" width="30.625" style="163" customWidth="1"/>
    <col min="9480" max="9713" width="9" style="163"/>
    <col min="9714" max="9714" width="13" style="163" customWidth="1"/>
    <col min="9715" max="9715" width="4.625" style="163" customWidth="1"/>
    <col min="9716" max="9716" width="0" style="163" hidden="1" customWidth="1"/>
    <col min="9717" max="9717" width="4.625" style="163" customWidth="1"/>
    <col min="9718" max="9718" width="15.625" style="163" customWidth="1"/>
    <col min="9719" max="9719" width="5.125" style="163" customWidth="1"/>
    <col min="9720" max="9720" width="13.375" style="163" customWidth="1"/>
    <col min="9721" max="9721" width="1.75" style="163" customWidth="1"/>
    <col min="9722" max="9722" width="5.375" style="163" customWidth="1"/>
    <col min="9723" max="9723" width="2.125" style="163" customWidth="1"/>
    <col min="9724" max="9724" width="0.75" style="163" customWidth="1"/>
    <col min="9725" max="9725" width="3" style="163" customWidth="1"/>
    <col min="9726" max="9726" width="2.125" style="163" customWidth="1"/>
    <col min="9727" max="9727" width="2.75" style="163" customWidth="1"/>
    <col min="9728" max="9728" width="2" style="163" customWidth="1"/>
    <col min="9729" max="9729" width="2.75" style="163" customWidth="1"/>
    <col min="9730" max="9730" width="1.875" style="163" customWidth="1"/>
    <col min="9731" max="9731" width="4.375" style="163" customWidth="1"/>
    <col min="9732" max="9732" width="12.75" style="163" customWidth="1"/>
    <col min="9733" max="9734" width="4.875" style="163" customWidth="1"/>
    <col min="9735" max="9735" width="30.625" style="163" customWidth="1"/>
    <col min="9736" max="9969" width="9" style="163"/>
    <col min="9970" max="9970" width="13" style="163" customWidth="1"/>
    <col min="9971" max="9971" width="4.625" style="163" customWidth="1"/>
    <col min="9972" max="9972" width="0" style="163" hidden="1" customWidth="1"/>
    <col min="9973" max="9973" width="4.625" style="163" customWidth="1"/>
    <col min="9974" max="9974" width="15.625" style="163" customWidth="1"/>
    <col min="9975" max="9975" width="5.125" style="163" customWidth="1"/>
    <col min="9976" max="9976" width="13.375" style="163" customWidth="1"/>
    <col min="9977" max="9977" width="1.75" style="163" customWidth="1"/>
    <col min="9978" max="9978" width="5.375" style="163" customWidth="1"/>
    <col min="9979" max="9979" width="2.125" style="163" customWidth="1"/>
    <col min="9980" max="9980" width="0.75" style="163" customWidth="1"/>
    <col min="9981" max="9981" width="3" style="163" customWidth="1"/>
    <col min="9982" max="9982" width="2.125" style="163" customWidth="1"/>
    <col min="9983" max="9983" width="2.75" style="163" customWidth="1"/>
    <col min="9984" max="9984" width="2" style="163" customWidth="1"/>
    <col min="9985" max="9985" width="2.75" style="163" customWidth="1"/>
    <col min="9986" max="9986" width="1.875" style="163" customWidth="1"/>
    <col min="9987" max="9987" width="4.375" style="163" customWidth="1"/>
    <col min="9988" max="9988" width="12.75" style="163" customWidth="1"/>
    <col min="9989" max="9990" width="4.875" style="163" customWidth="1"/>
    <col min="9991" max="9991" width="30.625" style="163" customWidth="1"/>
    <col min="9992" max="10225" width="9" style="163"/>
    <col min="10226" max="10226" width="13" style="163" customWidth="1"/>
    <col min="10227" max="10227" width="4.625" style="163" customWidth="1"/>
    <col min="10228" max="10228" width="0" style="163" hidden="1" customWidth="1"/>
    <col min="10229" max="10229" width="4.625" style="163" customWidth="1"/>
    <col min="10230" max="10230" width="15.625" style="163" customWidth="1"/>
    <col min="10231" max="10231" width="5.125" style="163" customWidth="1"/>
    <col min="10232" max="10232" width="13.375" style="163" customWidth="1"/>
    <col min="10233" max="10233" width="1.75" style="163" customWidth="1"/>
    <col min="10234" max="10234" width="5.375" style="163" customWidth="1"/>
    <col min="10235" max="10235" width="2.125" style="163" customWidth="1"/>
    <col min="10236" max="10236" width="0.75" style="163" customWidth="1"/>
    <col min="10237" max="10237" width="3" style="163" customWidth="1"/>
    <col min="10238" max="10238" width="2.125" style="163" customWidth="1"/>
    <col min="10239" max="10239" width="2.75" style="163" customWidth="1"/>
    <col min="10240" max="10240" width="2" style="163" customWidth="1"/>
    <col min="10241" max="10241" width="2.75" style="163" customWidth="1"/>
    <col min="10242" max="10242" width="1.875" style="163" customWidth="1"/>
    <col min="10243" max="10243" width="4.375" style="163" customWidth="1"/>
    <col min="10244" max="10244" width="12.75" style="163" customWidth="1"/>
    <col min="10245" max="10246" width="4.875" style="163" customWidth="1"/>
    <col min="10247" max="10247" width="30.625" style="163" customWidth="1"/>
    <col min="10248" max="10481" width="9" style="163"/>
    <col min="10482" max="10482" width="13" style="163" customWidth="1"/>
    <col min="10483" max="10483" width="4.625" style="163" customWidth="1"/>
    <col min="10484" max="10484" width="0" style="163" hidden="1" customWidth="1"/>
    <col min="10485" max="10485" width="4.625" style="163" customWidth="1"/>
    <col min="10486" max="10486" width="15.625" style="163" customWidth="1"/>
    <col min="10487" max="10487" width="5.125" style="163" customWidth="1"/>
    <col min="10488" max="10488" width="13.375" style="163" customWidth="1"/>
    <col min="10489" max="10489" width="1.75" style="163" customWidth="1"/>
    <col min="10490" max="10490" width="5.375" style="163" customWidth="1"/>
    <col min="10491" max="10491" width="2.125" style="163" customWidth="1"/>
    <col min="10492" max="10492" width="0.75" style="163" customWidth="1"/>
    <col min="10493" max="10493" width="3" style="163" customWidth="1"/>
    <col min="10494" max="10494" width="2.125" style="163" customWidth="1"/>
    <col min="10495" max="10495" width="2.75" style="163" customWidth="1"/>
    <col min="10496" max="10496" width="2" style="163" customWidth="1"/>
    <col min="10497" max="10497" width="2.75" style="163" customWidth="1"/>
    <col min="10498" max="10498" width="1.875" style="163" customWidth="1"/>
    <col min="10499" max="10499" width="4.375" style="163" customWidth="1"/>
    <col min="10500" max="10500" width="12.75" style="163" customWidth="1"/>
    <col min="10501" max="10502" width="4.875" style="163" customWidth="1"/>
    <col min="10503" max="10503" width="30.625" style="163" customWidth="1"/>
    <col min="10504" max="10737" width="9" style="163"/>
    <col min="10738" max="10738" width="13" style="163" customWidth="1"/>
    <col min="10739" max="10739" width="4.625" style="163" customWidth="1"/>
    <col min="10740" max="10740" width="0" style="163" hidden="1" customWidth="1"/>
    <col min="10741" max="10741" width="4.625" style="163" customWidth="1"/>
    <col min="10742" max="10742" width="15.625" style="163" customWidth="1"/>
    <col min="10743" max="10743" width="5.125" style="163" customWidth="1"/>
    <col min="10744" max="10744" width="13.375" style="163" customWidth="1"/>
    <col min="10745" max="10745" width="1.75" style="163" customWidth="1"/>
    <col min="10746" max="10746" width="5.375" style="163" customWidth="1"/>
    <col min="10747" max="10747" width="2.125" style="163" customWidth="1"/>
    <col min="10748" max="10748" width="0.75" style="163" customWidth="1"/>
    <col min="10749" max="10749" width="3" style="163" customWidth="1"/>
    <col min="10750" max="10750" width="2.125" style="163" customWidth="1"/>
    <col min="10751" max="10751" width="2.75" style="163" customWidth="1"/>
    <col min="10752" max="10752" width="2" style="163" customWidth="1"/>
    <col min="10753" max="10753" width="2.75" style="163" customWidth="1"/>
    <col min="10754" max="10754" width="1.875" style="163" customWidth="1"/>
    <col min="10755" max="10755" width="4.375" style="163" customWidth="1"/>
    <col min="10756" max="10756" width="12.75" style="163" customWidth="1"/>
    <col min="10757" max="10758" width="4.875" style="163" customWidth="1"/>
    <col min="10759" max="10759" width="30.625" style="163" customWidth="1"/>
    <col min="10760" max="10993" width="9" style="163"/>
    <col min="10994" max="10994" width="13" style="163" customWidth="1"/>
    <col min="10995" max="10995" width="4.625" style="163" customWidth="1"/>
    <col min="10996" max="10996" width="0" style="163" hidden="1" customWidth="1"/>
    <col min="10997" max="10997" width="4.625" style="163" customWidth="1"/>
    <col min="10998" max="10998" width="15.625" style="163" customWidth="1"/>
    <col min="10999" max="10999" width="5.125" style="163" customWidth="1"/>
    <col min="11000" max="11000" width="13.375" style="163" customWidth="1"/>
    <col min="11001" max="11001" width="1.75" style="163" customWidth="1"/>
    <col min="11002" max="11002" width="5.375" style="163" customWidth="1"/>
    <col min="11003" max="11003" width="2.125" style="163" customWidth="1"/>
    <col min="11004" max="11004" width="0.75" style="163" customWidth="1"/>
    <col min="11005" max="11005" width="3" style="163" customWidth="1"/>
    <col min="11006" max="11006" width="2.125" style="163" customWidth="1"/>
    <col min="11007" max="11007" width="2.75" style="163" customWidth="1"/>
    <col min="11008" max="11008" width="2" style="163" customWidth="1"/>
    <col min="11009" max="11009" width="2.75" style="163" customWidth="1"/>
    <col min="11010" max="11010" width="1.875" style="163" customWidth="1"/>
    <col min="11011" max="11011" width="4.375" style="163" customWidth="1"/>
    <col min="11012" max="11012" width="12.75" style="163" customWidth="1"/>
    <col min="11013" max="11014" width="4.875" style="163" customWidth="1"/>
    <col min="11015" max="11015" width="30.625" style="163" customWidth="1"/>
    <col min="11016" max="11249" width="9" style="163"/>
    <col min="11250" max="11250" width="13" style="163" customWidth="1"/>
    <col min="11251" max="11251" width="4.625" style="163" customWidth="1"/>
    <col min="11252" max="11252" width="0" style="163" hidden="1" customWidth="1"/>
    <col min="11253" max="11253" width="4.625" style="163" customWidth="1"/>
    <col min="11254" max="11254" width="15.625" style="163" customWidth="1"/>
    <col min="11255" max="11255" width="5.125" style="163" customWidth="1"/>
    <col min="11256" max="11256" width="13.375" style="163" customWidth="1"/>
    <col min="11257" max="11257" width="1.75" style="163" customWidth="1"/>
    <col min="11258" max="11258" width="5.375" style="163" customWidth="1"/>
    <col min="11259" max="11259" width="2.125" style="163" customWidth="1"/>
    <col min="11260" max="11260" width="0.75" style="163" customWidth="1"/>
    <col min="11261" max="11261" width="3" style="163" customWidth="1"/>
    <col min="11262" max="11262" width="2.125" style="163" customWidth="1"/>
    <col min="11263" max="11263" width="2.75" style="163" customWidth="1"/>
    <col min="11264" max="11264" width="2" style="163" customWidth="1"/>
    <col min="11265" max="11265" width="2.75" style="163" customWidth="1"/>
    <col min="11266" max="11266" width="1.875" style="163" customWidth="1"/>
    <col min="11267" max="11267" width="4.375" style="163" customWidth="1"/>
    <col min="11268" max="11268" width="12.75" style="163" customWidth="1"/>
    <col min="11269" max="11270" width="4.875" style="163" customWidth="1"/>
    <col min="11271" max="11271" width="30.625" style="163" customWidth="1"/>
    <col min="11272" max="11505" width="9" style="163"/>
    <col min="11506" max="11506" width="13" style="163" customWidth="1"/>
    <col min="11507" max="11507" width="4.625" style="163" customWidth="1"/>
    <col min="11508" max="11508" width="0" style="163" hidden="1" customWidth="1"/>
    <col min="11509" max="11509" width="4.625" style="163" customWidth="1"/>
    <col min="11510" max="11510" width="15.625" style="163" customWidth="1"/>
    <col min="11511" max="11511" width="5.125" style="163" customWidth="1"/>
    <col min="11512" max="11512" width="13.375" style="163" customWidth="1"/>
    <col min="11513" max="11513" width="1.75" style="163" customWidth="1"/>
    <col min="11514" max="11514" width="5.375" style="163" customWidth="1"/>
    <col min="11515" max="11515" width="2.125" style="163" customWidth="1"/>
    <col min="11516" max="11516" width="0.75" style="163" customWidth="1"/>
    <col min="11517" max="11517" width="3" style="163" customWidth="1"/>
    <col min="11518" max="11518" width="2.125" style="163" customWidth="1"/>
    <col min="11519" max="11519" width="2.75" style="163" customWidth="1"/>
    <col min="11520" max="11520" width="2" style="163" customWidth="1"/>
    <col min="11521" max="11521" width="2.75" style="163" customWidth="1"/>
    <col min="11522" max="11522" width="1.875" style="163" customWidth="1"/>
    <col min="11523" max="11523" width="4.375" style="163" customWidth="1"/>
    <col min="11524" max="11524" width="12.75" style="163" customWidth="1"/>
    <col min="11525" max="11526" width="4.875" style="163" customWidth="1"/>
    <col min="11527" max="11527" width="30.625" style="163" customWidth="1"/>
    <col min="11528" max="11761" width="9" style="163"/>
    <col min="11762" max="11762" width="13" style="163" customWidth="1"/>
    <col min="11763" max="11763" width="4.625" style="163" customWidth="1"/>
    <col min="11764" max="11764" width="0" style="163" hidden="1" customWidth="1"/>
    <col min="11765" max="11765" width="4.625" style="163" customWidth="1"/>
    <col min="11766" max="11766" width="15.625" style="163" customWidth="1"/>
    <col min="11767" max="11767" width="5.125" style="163" customWidth="1"/>
    <col min="11768" max="11768" width="13.375" style="163" customWidth="1"/>
    <col min="11769" max="11769" width="1.75" style="163" customWidth="1"/>
    <col min="11770" max="11770" width="5.375" style="163" customWidth="1"/>
    <col min="11771" max="11771" width="2.125" style="163" customWidth="1"/>
    <col min="11772" max="11772" width="0.75" style="163" customWidth="1"/>
    <col min="11773" max="11773" width="3" style="163" customWidth="1"/>
    <col min="11774" max="11774" width="2.125" style="163" customWidth="1"/>
    <col min="11775" max="11775" width="2.75" style="163" customWidth="1"/>
    <col min="11776" max="11776" width="2" style="163" customWidth="1"/>
    <col min="11777" max="11777" width="2.75" style="163" customWidth="1"/>
    <col min="11778" max="11778" width="1.875" style="163" customWidth="1"/>
    <col min="11779" max="11779" width="4.375" style="163" customWidth="1"/>
    <col min="11780" max="11780" width="12.75" style="163" customWidth="1"/>
    <col min="11781" max="11782" width="4.875" style="163" customWidth="1"/>
    <col min="11783" max="11783" width="30.625" style="163" customWidth="1"/>
    <col min="11784" max="12017" width="9" style="163"/>
    <col min="12018" max="12018" width="13" style="163" customWidth="1"/>
    <col min="12019" max="12019" width="4.625" style="163" customWidth="1"/>
    <col min="12020" max="12020" width="0" style="163" hidden="1" customWidth="1"/>
    <col min="12021" max="12021" width="4.625" style="163" customWidth="1"/>
    <col min="12022" max="12022" width="15.625" style="163" customWidth="1"/>
    <col min="12023" max="12023" width="5.125" style="163" customWidth="1"/>
    <col min="12024" max="12024" width="13.375" style="163" customWidth="1"/>
    <col min="12025" max="12025" width="1.75" style="163" customWidth="1"/>
    <col min="12026" max="12026" width="5.375" style="163" customWidth="1"/>
    <col min="12027" max="12027" width="2.125" style="163" customWidth="1"/>
    <col min="12028" max="12028" width="0.75" style="163" customWidth="1"/>
    <col min="12029" max="12029" width="3" style="163" customWidth="1"/>
    <col min="12030" max="12030" width="2.125" style="163" customWidth="1"/>
    <col min="12031" max="12031" width="2.75" style="163" customWidth="1"/>
    <col min="12032" max="12032" width="2" style="163" customWidth="1"/>
    <col min="12033" max="12033" width="2.75" style="163" customWidth="1"/>
    <col min="12034" max="12034" width="1.875" style="163" customWidth="1"/>
    <col min="12035" max="12035" width="4.375" style="163" customWidth="1"/>
    <col min="12036" max="12036" width="12.75" style="163" customWidth="1"/>
    <col min="12037" max="12038" width="4.875" style="163" customWidth="1"/>
    <col min="12039" max="12039" width="30.625" style="163" customWidth="1"/>
    <col min="12040" max="12273" width="9" style="163"/>
    <col min="12274" max="12274" width="13" style="163" customWidth="1"/>
    <col min="12275" max="12275" width="4.625" style="163" customWidth="1"/>
    <col min="12276" max="12276" width="0" style="163" hidden="1" customWidth="1"/>
    <col min="12277" max="12277" width="4.625" style="163" customWidth="1"/>
    <col min="12278" max="12278" width="15.625" style="163" customWidth="1"/>
    <col min="12279" max="12279" width="5.125" style="163" customWidth="1"/>
    <col min="12280" max="12280" width="13.375" style="163" customWidth="1"/>
    <col min="12281" max="12281" width="1.75" style="163" customWidth="1"/>
    <col min="12282" max="12282" width="5.375" style="163" customWidth="1"/>
    <col min="12283" max="12283" width="2.125" style="163" customWidth="1"/>
    <col min="12284" max="12284" width="0.75" style="163" customWidth="1"/>
    <col min="12285" max="12285" width="3" style="163" customWidth="1"/>
    <col min="12286" max="12286" width="2.125" style="163" customWidth="1"/>
    <col min="12287" max="12287" width="2.75" style="163" customWidth="1"/>
    <col min="12288" max="12288" width="2" style="163" customWidth="1"/>
    <col min="12289" max="12289" width="2.75" style="163" customWidth="1"/>
    <col min="12290" max="12290" width="1.875" style="163" customWidth="1"/>
    <col min="12291" max="12291" width="4.375" style="163" customWidth="1"/>
    <col min="12292" max="12292" width="12.75" style="163" customWidth="1"/>
    <col min="12293" max="12294" width="4.875" style="163" customWidth="1"/>
    <col min="12295" max="12295" width="30.625" style="163" customWidth="1"/>
    <col min="12296" max="12529" width="9" style="163"/>
    <col min="12530" max="12530" width="13" style="163" customWidth="1"/>
    <col min="12531" max="12531" width="4.625" style="163" customWidth="1"/>
    <col min="12532" max="12532" width="0" style="163" hidden="1" customWidth="1"/>
    <col min="12533" max="12533" width="4.625" style="163" customWidth="1"/>
    <col min="12534" max="12534" width="15.625" style="163" customWidth="1"/>
    <col min="12535" max="12535" width="5.125" style="163" customWidth="1"/>
    <col min="12536" max="12536" width="13.375" style="163" customWidth="1"/>
    <col min="12537" max="12537" width="1.75" style="163" customWidth="1"/>
    <col min="12538" max="12538" width="5.375" style="163" customWidth="1"/>
    <col min="12539" max="12539" width="2.125" style="163" customWidth="1"/>
    <col min="12540" max="12540" width="0.75" style="163" customWidth="1"/>
    <col min="12541" max="12541" width="3" style="163" customWidth="1"/>
    <col min="12542" max="12542" width="2.125" style="163" customWidth="1"/>
    <col min="12543" max="12543" width="2.75" style="163" customWidth="1"/>
    <col min="12544" max="12544" width="2" style="163" customWidth="1"/>
    <col min="12545" max="12545" width="2.75" style="163" customWidth="1"/>
    <col min="12546" max="12546" width="1.875" style="163" customWidth="1"/>
    <col min="12547" max="12547" width="4.375" style="163" customWidth="1"/>
    <col min="12548" max="12548" width="12.75" style="163" customWidth="1"/>
    <col min="12549" max="12550" width="4.875" style="163" customWidth="1"/>
    <col min="12551" max="12551" width="30.625" style="163" customWidth="1"/>
    <col min="12552" max="12785" width="9" style="163"/>
    <col min="12786" max="12786" width="13" style="163" customWidth="1"/>
    <col min="12787" max="12787" width="4.625" style="163" customWidth="1"/>
    <col min="12788" max="12788" width="0" style="163" hidden="1" customWidth="1"/>
    <col min="12789" max="12789" width="4.625" style="163" customWidth="1"/>
    <col min="12790" max="12790" width="15.625" style="163" customWidth="1"/>
    <col min="12791" max="12791" width="5.125" style="163" customWidth="1"/>
    <col min="12792" max="12792" width="13.375" style="163" customWidth="1"/>
    <col min="12793" max="12793" width="1.75" style="163" customWidth="1"/>
    <col min="12794" max="12794" width="5.375" style="163" customWidth="1"/>
    <col min="12795" max="12795" width="2.125" style="163" customWidth="1"/>
    <col min="12796" max="12796" width="0.75" style="163" customWidth="1"/>
    <col min="12797" max="12797" width="3" style="163" customWidth="1"/>
    <col min="12798" max="12798" width="2.125" style="163" customWidth="1"/>
    <col min="12799" max="12799" width="2.75" style="163" customWidth="1"/>
    <col min="12800" max="12800" width="2" style="163" customWidth="1"/>
    <col min="12801" max="12801" width="2.75" style="163" customWidth="1"/>
    <col min="12802" max="12802" width="1.875" style="163" customWidth="1"/>
    <col min="12803" max="12803" width="4.375" style="163" customWidth="1"/>
    <col min="12804" max="12804" width="12.75" style="163" customWidth="1"/>
    <col min="12805" max="12806" width="4.875" style="163" customWidth="1"/>
    <col min="12807" max="12807" width="30.625" style="163" customWidth="1"/>
    <col min="12808" max="13041" width="9" style="163"/>
    <col min="13042" max="13042" width="13" style="163" customWidth="1"/>
    <col min="13043" max="13043" width="4.625" style="163" customWidth="1"/>
    <col min="13044" max="13044" width="0" style="163" hidden="1" customWidth="1"/>
    <col min="13045" max="13045" width="4.625" style="163" customWidth="1"/>
    <col min="13046" max="13046" width="15.625" style="163" customWidth="1"/>
    <col min="13047" max="13047" width="5.125" style="163" customWidth="1"/>
    <col min="13048" max="13048" width="13.375" style="163" customWidth="1"/>
    <col min="13049" max="13049" width="1.75" style="163" customWidth="1"/>
    <col min="13050" max="13050" width="5.375" style="163" customWidth="1"/>
    <col min="13051" max="13051" width="2.125" style="163" customWidth="1"/>
    <col min="13052" max="13052" width="0.75" style="163" customWidth="1"/>
    <col min="13053" max="13053" width="3" style="163" customWidth="1"/>
    <col min="13054" max="13054" width="2.125" style="163" customWidth="1"/>
    <col min="13055" max="13055" width="2.75" style="163" customWidth="1"/>
    <col min="13056" max="13056" width="2" style="163" customWidth="1"/>
    <col min="13057" max="13057" width="2.75" style="163" customWidth="1"/>
    <col min="13058" max="13058" width="1.875" style="163" customWidth="1"/>
    <col min="13059" max="13059" width="4.375" style="163" customWidth="1"/>
    <col min="13060" max="13060" width="12.75" style="163" customWidth="1"/>
    <col min="13061" max="13062" width="4.875" style="163" customWidth="1"/>
    <col min="13063" max="13063" width="30.625" style="163" customWidth="1"/>
    <col min="13064" max="13297" width="9" style="163"/>
    <col min="13298" max="13298" width="13" style="163" customWidth="1"/>
    <col min="13299" max="13299" width="4.625" style="163" customWidth="1"/>
    <col min="13300" max="13300" width="0" style="163" hidden="1" customWidth="1"/>
    <col min="13301" max="13301" width="4.625" style="163" customWidth="1"/>
    <col min="13302" max="13302" width="15.625" style="163" customWidth="1"/>
    <col min="13303" max="13303" width="5.125" style="163" customWidth="1"/>
    <col min="13304" max="13304" width="13.375" style="163" customWidth="1"/>
    <col min="13305" max="13305" width="1.75" style="163" customWidth="1"/>
    <col min="13306" max="13306" width="5.375" style="163" customWidth="1"/>
    <col min="13307" max="13307" width="2.125" style="163" customWidth="1"/>
    <col min="13308" max="13308" width="0.75" style="163" customWidth="1"/>
    <col min="13309" max="13309" width="3" style="163" customWidth="1"/>
    <col min="13310" max="13310" width="2.125" style="163" customWidth="1"/>
    <col min="13311" max="13311" width="2.75" style="163" customWidth="1"/>
    <col min="13312" max="13312" width="2" style="163" customWidth="1"/>
    <col min="13313" max="13313" width="2.75" style="163" customWidth="1"/>
    <col min="13314" max="13314" width="1.875" style="163" customWidth="1"/>
    <col min="13315" max="13315" width="4.375" style="163" customWidth="1"/>
    <col min="13316" max="13316" width="12.75" style="163" customWidth="1"/>
    <col min="13317" max="13318" width="4.875" style="163" customWidth="1"/>
    <col min="13319" max="13319" width="30.625" style="163" customWidth="1"/>
    <col min="13320" max="13553" width="9" style="163"/>
    <col min="13554" max="13554" width="13" style="163" customWidth="1"/>
    <col min="13555" max="13555" width="4.625" style="163" customWidth="1"/>
    <col min="13556" max="13556" width="0" style="163" hidden="1" customWidth="1"/>
    <col min="13557" max="13557" width="4.625" style="163" customWidth="1"/>
    <col min="13558" max="13558" width="15.625" style="163" customWidth="1"/>
    <col min="13559" max="13559" width="5.125" style="163" customWidth="1"/>
    <col min="13560" max="13560" width="13.375" style="163" customWidth="1"/>
    <col min="13561" max="13561" width="1.75" style="163" customWidth="1"/>
    <col min="13562" max="13562" width="5.375" style="163" customWidth="1"/>
    <col min="13563" max="13563" width="2.125" style="163" customWidth="1"/>
    <col min="13564" max="13564" width="0.75" style="163" customWidth="1"/>
    <col min="13565" max="13565" width="3" style="163" customWidth="1"/>
    <col min="13566" max="13566" width="2.125" style="163" customWidth="1"/>
    <col min="13567" max="13567" width="2.75" style="163" customWidth="1"/>
    <col min="13568" max="13568" width="2" style="163" customWidth="1"/>
    <col min="13569" max="13569" width="2.75" style="163" customWidth="1"/>
    <col min="13570" max="13570" width="1.875" style="163" customWidth="1"/>
    <col min="13571" max="13571" width="4.375" style="163" customWidth="1"/>
    <col min="13572" max="13572" width="12.75" style="163" customWidth="1"/>
    <col min="13573" max="13574" width="4.875" style="163" customWidth="1"/>
    <col min="13575" max="13575" width="30.625" style="163" customWidth="1"/>
    <col min="13576" max="13809" width="9" style="163"/>
    <col min="13810" max="13810" width="13" style="163" customWidth="1"/>
    <col min="13811" max="13811" width="4.625" style="163" customWidth="1"/>
    <col min="13812" max="13812" width="0" style="163" hidden="1" customWidth="1"/>
    <col min="13813" max="13813" width="4.625" style="163" customWidth="1"/>
    <col min="13814" max="13814" width="15.625" style="163" customWidth="1"/>
    <col min="13815" max="13815" width="5.125" style="163" customWidth="1"/>
    <col min="13816" max="13816" width="13.375" style="163" customWidth="1"/>
    <col min="13817" max="13817" width="1.75" style="163" customWidth="1"/>
    <col min="13818" max="13818" width="5.375" style="163" customWidth="1"/>
    <col min="13819" max="13819" width="2.125" style="163" customWidth="1"/>
    <col min="13820" max="13820" width="0.75" style="163" customWidth="1"/>
    <col min="13821" max="13821" width="3" style="163" customWidth="1"/>
    <col min="13822" max="13822" width="2.125" style="163" customWidth="1"/>
    <col min="13823" max="13823" width="2.75" style="163" customWidth="1"/>
    <col min="13824" max="13824" width="2" style="163" customWidth="1"/>
    <col min="13825" max="13825" width="2.75" style="163" customWidth="1"/>
    <col min="13826" max="13826" width="1.875" style="163" customWidth="1"/>
    <col min="13827" max="13827" width="4.375" style="163" customWidth="1"/>
    <col min="13828" max="13828" width="12.75" style="163" customWidth="1"/>
    <col min="13829" max="13830" width="4.875" style="163" customWidth="1"/>
    <col min="13831" max="13831" width="30.625" style="163" customWidth="1"/>
    <col min="13832" max="14065" width="9" style="163"/>
    <col min="14066" max="14066" width="13" style="163" customWidth="1"/>
    <col min="14067" max="14067" width="4.625" style="163" customWidth="1"/>
    <col min="14068" max="14068" width="0" style="163" hidden="1" customWidth="1"/>
    <col min="14069" max="14069" width="4.625" style="163" customWidth="1"/>
    <col min="14070" max="14070" width="15.625" style="163" customWidth="1"/>
    <col min="14071" max="14071" width="5.125" style="163" customWidth="1"/>
    <col min="14072" max="14072" width="13.375" style="163" customWidth="1"/>
    <col min="14073" max="14073" width="1.75" style="163" customWidth="1"/>
    <col min="14074" max="14074" width="5.375" style="163" customWidth="1"/>
    <col min="14075" max="14075" width="2.125" style="163" customWidth="1"/>
    <col min="14076" max="14076" width="0.75" style="163" customWidth="1"/>
    <col min="14077" max="14077" width="3" style="163" customWidth="1"/>
    <col min="14078" max="14078" width="2.125" style="163" customWidth="1"/>
    <col min="14079" max="14079" width="2.75" style="163" customWidth="1"/>
    <col min="14080" max="14080" width="2" style="163" customWidth="1"/>
    <col min="14081" max="14081" width="2.75" style="163" customWidth="1"/>
    <col min="14082" max="14082" width="1.875" style="163" customWidth="1"/>
    <col min="14083" max="14083" width="4.375" style="163" customWidth="1"/>
    <col min="14084" max="14084" width="12.75" style="163" customWidth="1"/>
    <col min="14085" max="14086" width="4.875" style="163" customWidth="1"/>
    <col min="14087" max="14087" width="30.625" style="163" customWidth="1"/>
    <col min="14088" max="14321" width="9" style="163"/>
    <col min="14322" max="14322" width="13" style="163" customWidth="1"/>
    <col min="14323" max="14323" width="4.625" style="163" customWidth="1"/>
    <col min="14324" max="14324" width="0" style="163" hidden="1" customWidth="1"/>
    <col min="14325" max="14325" width="4.625" style="163" customWidth="1"/>
    <col min="14326" max="14326" width="15.625" style="163" customWidth="1"/>
    <col min="14327" max="14327" width="5.125" style="163" customWidth="1"/>
    <col min="14328" max="14328" width="13.375" style="163" customWidth="1"/>
    <col min="14329" max="14329" width="1.75" style="163" customWidth="1"/>
    <col min="14330" max="14330" width="5.375" style="163" customWidth="1"/>
    <col min="14331" max="14331" width="2.125" style="163" customWidth="1"/>
    <col min="14332" max="14332" width="0.75" style="163" customWidth="1"/>
    <col min="14333" max="14333" width="3" style="163" customWidth="1"/>
    <col min="14334" max="14334" width="2.125" style="163" customWidth="1"/>
    <col min="14335" max="14335" width="2.75" style="163" customWidth="1"/>
    <col min="14336" max="14336" width="2" style="163" customWidth="1"/>
    <col min="14337" max="14337" width="2.75" style="163" customWidth="1"/>
    <col min="14338" max="14338" width="1.875" style="163" customWidth="1"/>
    <col min="14339" max="14339" width="4.375" style="163" customWidth="1"/>
    <col min="14340" max="14340" width="12.75" style="163" customWidth="1"/>
    <col min="14341" max="14342" width="4.875" style="163" customWidth="1"/>
    <col min="14343" max="14343" width="30.625" style="163" customWidth="1"/>
    <col min="14344" max="14577" width="9" style="163"/>
    <col min="14578" max="14578" width="13" style="163" customWidth="1"/>
    <col min="14579" max="14579" width="4.625" style="163" customWidth="1"/>
    <col min="14580" max="14580" width="0" style="163" hidden="1" customWidth="1"/>
    <col min="14581" max="14581" width="4.625" style="163" customWidth="1"/>
    <col min="14582" max="14582" width="15.625" style="163" customWidth="1"/>
    <col min="14583" max="14583" width="5.125" style="163" customWidth="1"/>
    <col min="14584" max="14584" width="13.375" style="163" customWidth="1"/>
    <col min="14585" max="14585" width="1.75" style="163" customWidth="1"/>
    <col min="14586" max="14586" width="5.375" style="163" customWidth="1"/>
    <col min="14587" max="14587" width="2.125" style="163" customWidth="1"/>
    <col min="14588" max="14588" width="0.75" style="163" customWidth="1"/>
    <col min="14589" max="14589" width="3" style="163" customWidth="1"/>
    <col min="14590" max="14590" width="2.125" style="163" customWidth="1"/>
    <col min="14591" max="14591" width="2.75" style="163" customWidth="1"/>
    <col min="14592" max="14592" width="2" style="163" customWidth="1"/>
    <col min="14593" max="14593" width="2.75" style="163" customWidth="1"/>
    <col min="14594" max="14594" width="1.875" style="163" customWidth="1"/>
    <col min="14595" max="14595" width="4.375" style="163" customWidth="1"/>
    <col min="14596" max="14596" width="12.75" style="163" customWidth="1"/>
    <col min="14597" max="14598" width="4.875" style="163" customWidth="1"/>
    <col min="14599" max="14599" width="30.625" style="163" customWidth="1"/>
    <col min="14600" max="14833" width="9" style="163"/>
    <col min="14834" max="14834" width="13" style="163" customWidth="1"/>
    <col min="14835" max="14835" width="4.625" style="163" customWidth="1"/>
    <col min="14836" max="14836" width="0" style="163" hidden="1" customWidth="1"/>
    <col min="14837" max="14837" width="4.625" style="163" customWidth="1"/>
    <col min="14838" max="14838" width="15.625" style="163" customWidth="1"/>
    <col min="14839" max="14839" width="5.125" style="163" customWidth="1"/>
    <col min="14840" max="14840" width="13.375" style="163" customWidth="1"/>
    <col min="14841" max="14841" width="1.75" style="163" customWidth="1"/>
    <col min="14842" max="14842" width="5.375" style="163" customWidth="1"/>
    <col min="14843" max="14843" width="2.125" style="163" customWidth="1"/>
    <col min="14844" max="14844" width="0.75" style="163" customWidth="1"/>
    <col min="14845" max="14845" width="3" style="163" customWidth="1"/>
    <col min="14846" max="14846" width="2.125" style="163" customWidth="1"/>
    <col min="14847" max="14847" width="2.75" style="163" customWidth="1"/>
    <col min="14848" max="14848" width="2" style="163" customWidth="1"/>
    <col min="14849" max="14849" width="2.75" style="163" customWidth="1"/>
    <col min="14850" max="14850" width="1.875" style="163" customWidth="1"/>
    <col min="14851" max="14851" width="4.375" style="163" customWidth="1"/>
    <col min="14852" max="14852" width="12.75" style="163" customWidth="1"/>
    <col min="14853" max="14854" width="4.875" style="163" customWidth="1"/>
    <col min="14855" max="14855" width="30.625" style="163" customWidth="1"/>
    <col min="14856" max="15089" width="9" style="163"/>
    <col min="15090" max="15090" width="13" style="163" customWidth="1"/>
    <col min="15091" max="15091" width="4.625" style="163" customWidth="1"/>
    <col min="15092" max="15092" width="0" style="163" hidden="1" customWidth="1"/>
    <col min="15093" max="15093" width="4.625" style="163" customWidth="1"/>
    <col min="15094" max="15094" width="15.625" style="163" customWidth="1"/>
    <col min="15095" max="15095" width="5.125" style="163" customWidth="1"/>
    <col min="15096" max="15096" width="13.375" style="163" customWidth="1"/>
    <col min="15097" max="15097" width="1.75" style="163" customWidth="1"/>
    <col min="15098" max="15098" width="5.375" style="163" customWidth="1"/>
    <col min="15099" max="15099" width="2.125" style="163" customWidth="1"/>
    <col min="15100" max="15100" width="0.75" style="163" customWidth="1"/>
    <col min="15101" max="15101" width="3" style="163" customWidth="1"/>
    <col min="15102" max="15102" width="2.125" style="163" customWidth="1"/>
    <col min="15103" max="15103" width="2.75" style="163" customWidth="1"/>
    <col min="15104" max="15104" width="2" style="163" customWidth="1"/>
    <col min="15105" max="15105" width="2.75" style="163" customWidth="1"/>
    <col min="15106" max="15106" width="1.875" style="163" customWidth="1"/>
    <col min="15107" max="15107" width="4.375" style="163" customWidth="1"/>
    <col min="15108" max="15108" width="12.75" style="163" customWidth="1"/>
    <col min="15109" max="15110" width="4.875" style="163" customWidth="1"/>
    <col min="15111" max="15111" width="30.625" style="163" customWidth="1"/>
    <col min="15112" max="15345" width="9" style="163"/>
    <col min="15346" max="15346" width="13" style="163" customWidth="1"/>
    <col min="15347" max="15347" width="4.625" style="163" customWidth="1"/>
    <col min="15348" max="15348" width="0" style="163" hidden="1" customWidth="1"/>
    <col min="15349" max="15349" width="4.625" style="163" customWidth="1"/>
    <col min="15350" max="15350" width="15.625" style="163" customWidth="1"/>
    <col min="15351" max="15351" width="5.125" style="163" customWidth="1"/>
    <col min="15352" max="15352" width="13.375" style="163" customWidth="1"/>
    <col min="15353" max="15353" width="1.75" style="163" customWidth="1"/>
    <col min="15354" max="15354" width="5.375" style="163" customWidth="1"/>
    <col min="15355" max="15355" width="2.125" style="163" customWidth="1"/>
    <col min="15356" max="15356" width="0.75" style="163" customWidth="1"/>
    <col min="15357" max="15357" width="3" style="163" customWidth="1"/>
    <col min="15358" max="15358" width="2.125" style="163" customWidth="1"/>
    <col min="15359" max="15359" width="2.75" style="163" customWidth="1"/>
    <col min="15360" max="15360" width="2" style="163" customWidth="1"/>
    <col min="15361" max="15361" width="2.75" style="163" customWidth="1"/>
    <col min="15362" max="15362" width="1.875" style="163" customWidth="1"/>
    <col min="15363" max="15363" width="4.375" style="163" customWidth="1"/>
    <col min="15364" max="15364" width="12.75" style="163" customWidth="1"/>
    <col min="15365" max="15366" width="4.875" style="163" customWidth="1"/>
    <col min="15367" max="15367" width="30.625" style="163" customWidth="1"/>
    <col min="15368" max="15601" width="9" style="163"/>
    <col min="15602" max="15602" width="13" style="163" customWidth="1"/>
    <col min="15603" max="15603" width="4.625" style="163" customWidth="1"/>
    <col min="15604" max="15604" width="0" style="163" hidden="1" customWidth="1"/>
    <col min="15605" max="15605" width="4.625" style="163" customWidth="1"/>
    <col min="15606" max="15606" width="15.625" style="163" customWidth="1"/>
    <col min="15607" max="15607" width="5.125" style="163" customWidth="1"/>
    <col min="15608" max="15608" width="13.375" style="163" customWidth="1"/>
    <col min="15609" max="15609" width="1.75" style="163" customWidth="1"/>
    <col min="15610" max="15610" width="5.375" style="163" customWidth="1"/>
    <col min="15611" max="15611" width="2.125" style="163" customWidth="1"/>
    <col min="15612" max="15612" width="0.75" style="163" customWidth="1"/>
    <col min="15613" max="15613" width="3" style="163" customWidth="1"/>
    <col min="15614" max="15614" width="2.125" style="163" customWidth="1"/>
    <col min="15615" max="15615" width="2.75" style="163" customWidth="1"/>
    <col min="15616" max="15616" width="2" style="163" customWidth="1"/>
    <col min="15617" max="15617" width="2.75" style="163" customWidth="1"/>
    <col min="15618" max="15618" width="1.875" style="163" customWidth="1"/>
    <col min="15619" max="15619" width="4.375" style="163" customWidth="1"/>
    <col min="15620" max="15620" width="12.75" style="163" customWidth="1"/>
    <col min="15621" max="15622" width="4.875" style="163" customWidth="1"/>
    <col min="15623" max="15623" width="30.625" style="163" customWidth="1"/>
    <col min="15624" max="15857" width="9" style="163"/>
    <col min="15858" max="15858" width="13" style="163" customWidth="1"/>
    <col min="15859" max="15859" width="4.625" style="163" customWidth="1"/>
    <col min="15860" max="15860" width="0" style="163" hidden="1" customWidth="1"/>
    <col min="15861" max="15861" width="4.625" style="163" customWidth="1"/>
    <col min="15862" max="15862" width="15.625" style="163" customWidth="1"/>
    <col min="15863" max="15863" width="5.125" style="163" customWidth="1"/>
    <col min="15864" max="15864" width="13.375" style="163" customWidth="1"/>
    <col min="15865" max="15865" width="1.75" style="163" customWidth="1"/>
    <col min="15866" max="15866" width="5.375" style="163" customWidth="1"/>
    <col min="15867" max="15867" width="2.125" style="163" customWidth="1"/>
    <col min="15868" max="15868" width="0.75" style="163" customWidth="1"/>
    <col min="15869" max="15869" width="3" style="163" customWidth="1"/>
    <col min="15870" max="15870" width="2.125" style="163" customWidth="1"/>
    <col min="15871" max="15871" width="2.75" style="163" customWidth="1"/>
    <col min="15872" max="15872" width="2" style="163" customWidth="1"/>
    <col min="15873" max="15873" width="2.75" style="163" customWidth="1"/>
    <col min="15874" max="15874" width="1.875" style="163" customWidth="1"/>
    <col min="15875" max="15875" width="4.375" style="163" customWidth="1"/>
    <col min="15876" max="15876" width="12.75" style="163" customWidth="1"/>
    <col min="15877" max="15878" width="4.875" style="163" customWidth="1"/>
    <col min="15879" max="15879" width="30.625" style="163" customWidth="1"/>
    <col min="15880" max="16113" width="9" style="163"/>
    <col min="16114" max="16114" width="13" style="163" customWidth="1"/>
    <col min="16115" max="16115" width="4.625" style="163" customWidth="1"/>
    <col min="16116" max="16116" width="0" style="163" hidden="1" customWidth="1"/>
    <col min="16117" max="16117" width="4.625" style="163" customWidth="1"/>
    <col min="16118" max="16118" width="15.625" style="163" customWidth="1"/>
    <col min="16119" max="16119" width="5.125" style="163" customWidth="1"/>
    <col min="16120" max="16120" width="13.375" style="163" customWidth="1"/>
    <col min="16121" max="16121" width="1.75" style="163" customWidth="1"/>
    <col min="16122" max="16122" width="5.375" style="163" customWidth="1"/>
    <col min="16123" max="16123" width="2.125" style="163" customWidth="1"/>
    <col min="16124" max="16124" width="0.75" style="163" customWidth="1"/>
    <col min="16125" max="16125" width="3" style="163" customWidth="1"/>
    <col min="16126" max="16126" width="2.125" style="163" customWidth="1"/>
    <col min="16127" max="16127" width="2.75" style="163" customWidth="1"/>
    <col min="16128" max="16128" width="2" style="163" customWidth="1"/>
    <col min="16129" max="16129" width="2.75" style="163" customWidth="1"/>
    <col min="16130" max="16130" width="1.875" style="163" customWidth="1"/>
    <col min="16131" max="16131" width="4.375" style="163" customWidth="1"/>
    <col min="16132" max="16132" width="12.75" style="163" customWidth="1"/>
    <col min="16133" max="16134" width="4.875" style="163" customWidth="1"/>
    <col min="16135" max="16135" width="30.625" style="163" customWidth="1"/>
    <col min="16136" max="16384" width="9" style="163"/>
  </cols>
  <sheetData>
    <row r="1" spans="1:9" s="160" customFormat="1" ht="27" customHeight="1">
      <c r="A1" s="155" t="s">
        <v>263</v>
      </c>
      <c r="B1" s="156"/>
      <c r="C1" s="157"/>
      <c r="D1" s="157"/>
      <c r="E1" s="158"/>
      <c r="F1" s="159" t="s">
        <v>264</v>
      </c>
      <c r="G1" s="867" t="str">
        <f>"" &amp; 本社名称</f>
        <v/>
      </c>
      <c r="H1" s="867"/>
      <c r="I1" s="867"/>
    </row>
    <row r="2" spans="1:9" s="160" customFormat="1" ht="12.75" customHeight="1">
      <c r="A2" s="161" t="s">
        <v>265</v>
      </c>
      <c r="B2" s="161"/>
      <c r="C2" s="161"/>
      <c r="D2" s="161"/>
      <c r="E2" s="161"/>
      <c r="F2" s="161"/>
      <c r="G2" s="161"/>
      <c r="H2" s="161"/>
      <c r="I2" s="161"/>
    </row>
    <row r="3" spans="1:9" s="160" customFormat="1" ht="12.75" customHeight="1">
      <c r="A3" s="161" t="s">
        <v>266</v>
      </c>
      <c r="B3" s="161"/>
      <c r="C3" s="161"/>
      <c r="D3" s="161"/>
      <c r="E3" s="162"/>
      <c r="F3" s="162"/>
      <c r="G3" s="161"/>
      <c r="H3" s="161"/>
      <c r="I3" s="162"/>
    </row>
    <row r="4" spans="1:9" s="160" customFormat="1" ht="12.75" customHeight="1">
      <c r="A4" s="161" t="s">
        <v>267</v>
      </c>
      <c r="B4" s="161"/>
      <c r="C4" s="161"/>
      <c r="D4" s="161"/>
      <c r="E4" s="162"/>
      <c r="F4" s="162"/>
      <c r="G4" s="161"/>
      <c r="H4" s="161"/>
      <c r="I4" s="162"/>
    </row>
    <row r="5" spans="1:9" s="160" customFormat="1" ht="3" customHeight="1">
      <c r="C5" s="163"/>
      <c r="D5" s="163"/>
      <c r="E5" s="163"/>
      <c r="F5" s="163"/>
      <c r="G5" s="163"/>
      <c r="H5" s="163"/>
      <c r="I5" s="163"/>
    </row>
    <row r="6" spans="1:9" ht="15" customHeight="1" thickBot="1">
      <c r="A6" s="164" t="s">
        <v>268</v>
      </c>
      <c r="B6" s="165" t="s">
        <v>269</v>
      </c>
      <c r="C6" s="166" t="s">
        <v>270</v>
      </c>
      <c r="D6" s="166" t="s">
        <v>271</v>
      </c>
      <c r="E6" s="167" t="s">
        <v>272</v>
      </c>
      <c r="F6" s="168" t="s">
        <v>273</v>
      </c>
      <c r="G6" s="169" t="s">
        <v>274</v>
      </c>
      <c r="H6" s="170" t="s">
        <v>275</v>
      </c>
      <c r="I6" s="171" t="s">
        <v>276</v>
      </c>
    </row>
    <row r="7" spans="1:9" ht="13.5" customHeight="1">
      <c r="A7" s="172"/>
      <c r="B7" s="173"/>
      <c r="C7" s="868" t="str">
        <f>IF(AND(登録_測量業者_番号&lt;&gt;"",登録_測量業者_日&lt;&gt;""), "○","")</f>
        <v/>
      </c>
      <c r="D7" s="174" t="str">
        <f>"" &amp; 業種_測量一般</f>
        <v/>
      </c>
      <c r="E7" s="175" t="s">
        <v>97</v>
      </c>
      <c r="F7" s="176" t="s">
        <v>277</v>
      </c>
      <c r="G7" s="177"/>
      <c r="H7" s="869" t="str">
        <f>IF(登録_測量業者_番号="", "", "第" &amp; 登録_測量業者_番号 &amp; "号")</f>
        <v/>
      </c>
      <c r="I7" s="837" t="str">
        <f>IF(登録_測量業者_日="", "", TEXT(登録_測量業者_日,"ggge年m月d日"))</f>
        <v/>
      </c>
    </row>
    <row r="8" spans="1:9" ht="13.5" customHeight="1">
      <c r="A8" s="172" t="s">
        <v>278</v>
      </c>
      <c r="B8" s="178" t="s">
        <v>279</v>
      </c>
      <c r="C8" s="856"/>
      <c r="D8" s="179" t="str">
        <f>"" &amp; 業種_地図調整</f>
        <v/>
      </c>
      <c r="E8" s="180" t="s">
        <v>280</v>
      </c>
      <c r="F8" s="181" t="s">
        <v>281</v>
      </c>
      <c r="G8" s="182"/>
      <c r="H8" s="870"/>
      <c r="I8" s="838"/>
    </row>
    <row r="9" spans="1:9" ht="13.5" customHeight="1" thickBot="1">
      <c r="A9" s="183"/>
      <c r="B9" s="184"/>
      <c r="C9" s="857"/>
      <c r="D9" s="185" t="str">
        <f>"" &amp; 業種_航空測量</f>
        <v/>
      </c>
      <c r="E9" s="186" t="s">
        <v>98</v>
      </c>
      <c r="F9" s="187" t="s">
        <v>282</v>
      </c>
      <c r="G9" s="188"/>
      <c r="H9" s="871"/>
      <c r="I9" s="839"/>
    </row>
    <row r="10" spans="1:9" ht="13.5" customHeight="1">
      <c r="A10" s="172"/>
      <c r="B10" s="173"/>
      <c r="C10" s="868" t="str">
        <f>IF(AND(登録_建築士事務所_番号&lt;&gt;"",登録_建築士事務所_日&lt;&gt;""), "○","")</f>
        <v/>
      </c>
      <c r="D10" s="189" t="str">
        <f xml:space="preserve"> "" &amp; 業種_建築一般</f>
        <v/>
      </c>
      <c r="E10" s="175" t="s">
        <v>99</v>
      </c>
      <c r="F10" s="176" t="s">
        <v>283</v>
      </c>
      <c r="G10" s="177"/>
      <c r="H10" s="872" t="str">
        <f>IF(登録_建築士事務所_番号="", "", "第" &amp; 登録_建築士事務所_番号 &amp; "号")</f>
        <v/>
      </c>
      <c r="I10" s="837" t="str">
        <f>IF(登録_建築士事務所_日="", "", TEXT(登録_建築士事務所_日,"ggge年m月d日"))</f>
        <v/>
      </c>
    </row>
    <row r="11" spans="1:9" ht="13.5" customHeight="1">
      <c r="A11" s="172"/>
      <c r="B11" s="178" t="s">
        <v>284</v>
      </c>
      <c r="C11" s="856"/>
      <c r="D11" s="179" t="str">
        <f xml:space="preserve"> "" &amp; 業種_意匠</f>
        <v/>
      </c>
      <c r="E11" s="190" t="s">
        <v>100</v>
      </c>
      <c r="F11" s="191" t="s">
        <v>285</v>
      </c>
      <c r="G11" s="182"/>
      <c r="H11" s="873"/>
      <c r="I11" s="838"/>
    </row>
    <row r="12" spans="1:9" ht="13.5" customHeight="1" thickBot="1">
      <c r="A12" s="172"/>
      <c r="B12" s="192"/>
      <c r="C12" s="857"/>
      <c r="D12" s="193" t="str">
        <f xml:space="preserve"> "" &amp; 業種_構造</f>
        <v/>
      </c>
      <c r="E12" s="194" t="s">
        <v>101</v>
      </c>
      <c r="F12" s="191" t="s">
        <v>286</v>
      </c>
      <c r="G12" s="182"/>
      <c r="H12" s="873"/>
      <c r="I12" s="838"/>
    </row>
    <row r="13" spans="1:9" ht="13.5" customHeight="1">
      <c r="A13" s="172"/>
      <c r="B13" s="195"/>
      <c r="C13" s="196"/>
      <c r="D13" s="197" t="str">
        <f xml:space="preserve"> "" &amp; 業種_暖冷房</f>
        <v/>
      </c>
      <c r="E13" s="198" t="s">
        <v>287</v>
      </c>
      <c r="F13" s="199" t="s">
        <v>288</v>
      </c>
      <c r="G13" s="182"/>
      <c r="H13" s="200"/>
      <c r="I13" s="201"/>
    </row>
    <row r="14" spans="1:9" ht="13.5" customHeight="1">
      <c r="A14" s="172" t="s">
        <v>289</v>
      </c>
      <c r="B14" s="195"/>
      <c r="C14" s="196"/>
      <c r="D14" s="179" t="str">
        <f xml:space="preserve"> "" &amp; 業種_衛生</f>
        <v/>
      </c>
      <c r="E14" s="202" t="s">
        <v>102</v>
      </c>
      <c r="F14" s="199" t="s">
        <v>290</v>
      </c>
      <c r="G14" s="182"/>
      <c r="H14" s="200"/>
      <c r="I14" s="201"/>
    </row>
    <row r="15" spans="1:9" ht="13.5" customHeight="1">
      <c r="A15" s="172"/>
      <c r="B15" s="195"/>
      <c r="C15" s="196"/>
      <c r="D15" s="179" t="str">
        <f xml:space="preserve"> "" &amp; 業種_電気</f>
        <v/>
      </c>
      <c r="E15" s="202" t="s">
        <v>103</v>
      </c>
      <c r="F15" s="199" t="s">
        <v>291</v>
      </c>
      <c r="G15" s="182"/>
      <c r="H15" s="200"/>
      <c r="I15" s="201"/>
    </row>
    <row r="16" spans="1:9" ht="13.5" customHeight="1">
      <c r="A16" s="172"/>
      <c r="B16" s="195"/>
      <c r="C16" s="196"/>
      <c r="D16" s="179" t="str">
        <f xml:space="preserve"> "" &amp; 業種_建築積算</f>
        <v/>
      </c>
      <c r="E16" s="202" t="s">
        <v>104</v>
      </c>
      <c r="F16" s="199" t="s">
        <v>292</v>
      </c>
      <c r="G16" s="182"/>
      <c r="H16" s="200"/>
      <c r="I16" s="201"/>
    </row>
    <row r="17" spans="1:9" ht="13.5" customHeight="1">
      <c r="A17" s="172"/>
      <c r="B17" s="195"/>
      <c r="C17" s="196"/>
      <c r="D17" s="179" t="str">
        <f xml:space="preserve"> "" &amp; 業種_機械積算</f>
        <v/>
      </c>
      <c r="E17" s="202" t="s">
        <v>293</v>
      </c>
      <c r="F17" s="199" t="s">
        <v>294</v>
      </c>
      <c r="G17" s="182"/>
      <c r="H17" s="200"/>
      <c r="I17" s="201"/>
    </row>
    <row r="18" spans="1:9" ht="13.5" customHeight="1">
      <c r="A18" s="172"/>
      <c r="B18" s="195"/>
      <c r="C18" s="196"/>
      <c r="D18" s="179" t="str">
        <f xml:space="preserve"> "" &amp; 業種_電気積算</f>
        <v/>
      </c>
      <c r="E18" s="202" t="s">
        <v>295</v>
      </c>
      <c r="F18" s="199" t="s">
        <v>296</v>
      </c>
      <c r="G18" s="182"/>
      <c r="H18" s="200"/>
      <c r="I18" s="201"/>
    </row>
    <row r="19" spans="1:9" ht="13.5" customHeight="1">
      <c r="A19" s="172"/>
      <c r="B19" s="195"/>
      <c r="C19" s="196"/>
      <c r="D19" s="179" t="str">
        <f xml:space="preserve"> "" &amp; 業種_建設調査</f>
        <v/>
      </c>
      <c r="E19" s="202" t="s">
        <v>297</v>
      </c>
      <c r="F19" s="199" t="s">
        <v>298</v>
      </c>
      <c r="G19" s="182"/>
      <c r="H19" s="200"/>
      <c r="I19" s="201"/>
    </row>
    <row r="20" spans="1:9" ht="13.5" customHeight="1" thickBot="1">
      <c r="A20" s="172"/>
      <c r="B20" s="195"/>
      <c r="C20" s="196"/>
      <c r="D20" s="203" t="str">
        <f xml:space="preserve"> "" &amp; 業種_耐震診断</f>
        <v/>
      </c>
      <c r="E20" s="204" t="s">
        <v>299</v>
      </c>
      <c r="F20" s="205" t="s">
        <v>300</v>
      </c>
      <c r="G20" s="182"/>
      <c r="H20" s="206"/>
      <c r="I20" s="207"/>
    </row>
    <row r="21" spans="1:9" ht="13.5" customHeight="1">
      <c r="A21" s="208"/>
      <c r="B21" s="209"/>
      <c r="C21" s="210" t="str">
        <f>IF(業種_河川海岸_登録="あり", "○", "")</f>
        <v/>
      </c>
      <c r="D21" s="189" t="str">
        <f xml:space="preserve"> "" &amp; 業種_河川海岸</f>
        <v/>
      </c>
      <c r="E21" s="211" t="s">
        <v>301</v>
      </c>
      <c r="F21" s="212" t="s">
        <v>302</v>
      </c>
      <c r="G21" s="213" t="str">
        <f xml:space="preserve"> "" &amp; TEXT(業種_河川海岸_業高, "#,###")</f>
        <v/>
      </c>
      <c r="H21" s="851" t="str">
        <f>IF(登録_建設コンサルタント_番号="", "", "第" &amp; 登録_建設コンサルタント_番号 &amp; "号")</f>
        <v/>
      </c>
      <c r="I21" s="837" t="str">
        <f>IF(登録_建設コンサルタント_日="", "", TEXT(登録_建設コンサルタント_日,"ggge年m月d日"))</f>
        <v/>
      </c>
    </row>
    <row r="22" spans="1:9" ht="13.5" customHeight="1">
      <c r="A22" s="214"/>
      <c r="B22" s="215"/>
      <c r="C22" s="216" t="str">
        <f>IF(業種_港湾空港_登録="あり", "○", "")</f>
        <v/>
      </c>
      <c r="D22" s="179" t="str">
        <f xml:space="preserve"> "" &amp; 業種_港湾空港</f>
        <v/>
      </c>
      <c r="E22" s="217" t="s">
        <v>154</v>
      </c>
      <c r="F22" s="218" t="s">
        <v>303</v>
      </c>
      <c r="G22" s="219" t="str">
        <f xml:space="preserve"> "" &amp; TEXT(業種_港湾空港_業高, "#,###")</f>
        <v/>
      </c>
      <c r="H22" s="852"/>
      <c r="I22" s="838"/>
    </row>
    <row r="23" spans="1:9" ht="13.5" customHeight="1">
      <c r="A23" s="214"/>
      <c r="B23" s="215"/>
      <c r="C23" s="216" t="str">
        <f>IF(業種_電力土木_登録="あり", "○", "")</f>
        <v/>
      </c>
      <c r="D23" s="179" t="str">
        <f xml:space="preserve"> "" &amp; 業種_電力土木</f>
        <v/>
      </c>
      <c r="E23" s="217" t="s">
        <v>107</v>
      </c>
      <c r="F23" s="218" t="s">
        <v>304</v>
      </c>
      <c r="G23" s="220" t="str">
        <f xml:space="preserve"> "" &amp; TEXT(業種_電力土木_業高,"#,###")</f>
        <v/>
      </c>
      <c r="H23" s="852"/>
      <c r="I23" s="838"/>
    </row>
    <row r="24" spans="1:9" ht="13.5" customHeight="1">
      <c r="A24" s="214"/>
      <c r="B24" s="215"/>
      <c r="C24" s="216" t="str">
        <f>IF(業種_道路_登録="あり", "○", "")</f>
        <v/>
      </c>
      <c r="D24" s="179" t="str">
        <f xml:space="preserve"> "" &amp; 業種_道路</f>
        <v/>
      </c>
      <c r="E24" s="217" t="s">
        <v>108</v>
      </c>
      <c r="F24" s="218" t="s">
        <v>305</v>
      </c>
      <c r="G24" s="220" t="str">
        <f xml:space="preserve"> "" &amp; TEXT(業種_道路_業高,"#,###")</f>
        <v/>
      </c>
      <c r="H24" s="852" t="str">
        <f>IF(登録_建築士事務所_番号="", "", 登録_建築士事務所_番号 &amp; "号")</f>
        <v/>
      </c>
      <c r="I24" s="838" t="str">
        <f>IF(登録_建築士事務所_日="", "", TEXT(登録_建築士事務所_日,"ggge年m月d日"))</f>
        <v/>
      </c>
    </row>
    <row r="25" spans="1:9" ht="13.5" customHeight="1">
      <c r="A25" s="214"/>
      <c r="B25" s="215"/>
      <c r="C25" s="216" t="str">
        <f>IF(業種_鉄道_登録="あり", "○", "")</f>
        <v/>
      </c>
      <c r="D25" s="179" t="str">
        <f xml:space="preserve"> "" &amp; 業種_鉄道</f>
        <v/>
      </c>
      <c r="E25" s="217" t="s">
        <v>109</v>
      </c>
      <c r="F25" s="218" t="s">
        <v>306</v>
      </c>
      <c r="G25" s="220" t="str">
        <f xml:space="preserve"> "" &amp; TEXT(業種_鉄道_業高,"#,###")</f>
        <v/>
      </c>
      <c r="H25" s="852"/>
      <c r="I25" s="838"/>
    </row>
    <row r="26" spans="1:9" ht="13.5" customHeight="1">
      <c r="A26" s="214"/>
      <c r="B26" s="215"/>
      <c r="C26" s="216" t="str">
        <f>IF(業種_上水工業_登録="あり", "○", "")</f>
        <v/>
      </c>
      <c r="D26" s="179" t="str">
        <f xml:space="preserve"> "" &amp; 業種_上水工業</f>
        <v/>
      </c>
      <c r="E26" s="217" t="s">
        <v>307</v>
      </c>
      <c r="F26" s="218" t="s">
        <v>308</v>
      </c>
      <c r="G26" s="221" t="str">
        <f xml:space="preserve"> "" &amp; TEXT(業種_上水工業_業高, "#,###")</f>
        <v/>
      </c>
      <c r="H26" s="852"/>
      <c r="I26" s="838"/>
    </row>
    <row r="27" spans="1:9" ht="13.5" customHeight="1">
      <c r="A27" s="214"/>
      <c r="B27" s="215"/>
      <c r="C27" s="216" t="str">
        <f>IF(業種_下水道_登録="あり", "○", "")</f>
        <v/>
      </c>
      <c r="D27" s="179" t="str">
        <f xml:space="preserve"> "" &amp; 業種_下水道</f>
        <v/>
      </c>
      <c r="E27" s="217" t="s">
        <v>110</v>
      </c>
      <c r="F27" s="218" t="s">
        <v>309</v>
      </c>
      <c r="G27" s="221" t="str">
        <f xml:space="preserve"> "" &amp; TEXT(業種_下水道_業高, "#,###")</f>
        <v/>
      </c>
      <c r="H27" s="852" t="str">
        <f>IF(登録_建築士事務所_番号="", "", 登録_建築士事務所_番号 &amp; "号")</f>
        <v/>
      </c>
      <c r="I27" s="838" t="str">
        <f>IF(登録_建築士事務所_日="", "", TEXT(登録_建築士事務所_日,"ggge年m月d日"))</f>
        <v/>
      </c>
    </row>
    <row r="28" spans="1:9" ht="13.5" customHeight="1">
      <c r="A28" s="214"/>
      <c r="B28" s="215"/>
      <c r="C28" s="216" t="str">
        <f>IF(業種_農業土木_登録="あり", "○", "")</f>
        <v/>
      </c>
      <c r="D28" s="179" t="str">
        <f xml:space="preserve"> "" &amp; 業種_農業土木</f>
        <v/>
      </c>
      <c r="E28" s="217" t="s">
        <v>111</v>
      </c>
      <c r="F28" s="218" t="s">
        <v>310</v>
      </c>
      <c r="G28" s="221" t="str">
        <f xml:space="preserve"> "" &amp; TEXT(業種_農業土木_業高, "#,###")</f>
        <v/>
      </c>
      <c r="H28" s="852"/>
      <c r="I28" s="838"/>
    </row>
    <row r="29" spans="1:9" ht="13.5" customHeight="1">
      <c r="A29" s="214"/>
      <c r="B29" s="215"/>
      <c r="C29" s="216" t="str">
        <f>IF(業種_森林土木_登録="あり", "○", "")</f>
        <v/>
      </c>
      <c r="D29" s="179" t="str">
        <f xml:space="preserve"> "" &amp; 業種_森林土木</f>
        <v/>
      </c>
      <c r="E29" s="217" t="s">
        <v>112</v>
      </c>
      <c r="F29" s="218" t="s">
        <v>311</v>
      </c>
      <c r="G29" s="221" t="str">
        <f xml:space="preserve"> "" &amp; TEXT(業種_森林土木_業高, "#,###")</f>
        <v/>
      </c>
      <c r="H29" s="852"/>
      <c r="I29" s="838"/>
    </row>
    <row r="30" spans="1:9" ht="13.5" customHeight="1">
      <c r="A30" s="222"/>
      <c r="B30" s="215" t="s">
        <v>312</v>
      </c>
      <c r="C30" s="216" t="str">
        <f>IF(業種_水産土木_登録="あり", "○", "")</f>
        <v/>
      </c>
      <c r="D30" s="179" t="str">
        <f xml:space="preserve"> "" &amp; 業種_水産土木</f>
        <v/>
      </c>
      <c r="E30" s="217" t="s">
        <v>113</v>
      </c>
      <c r="F30" s="218" t="s">
        <v>313</v>
      </c>
      <c r="G30" s="221" t="str">
        <f xml:space="preserve"> "" &amp; TEXT(業種_水産土木_業高, "#,###")</f>
        <v/>
      </c>
      <c r="H30" s="852" t="str">
        <f>IF(登録_建築士事務所_番号="", "", 登録_建築士事務所_番号 &amp; "号")</f>
        <v/>
      </c>
      <c r="I30" s="838" t="str">
        <f>IF(登録_建築士事務所_日="", "", TEXT(登録_建築士事務所_日,"ggge年m月d日"))</f>
        <v/>
      </c>
    </row>
    <row r="31" spans="1:9" ht="13.5" customHeight="1">
      <c r="A31" s="214"/>
      <c r="B31" s="215"/>
      <c r="C31" s="216" t="str">
        <f>IF(業種_廃棄物_登録="あり", "○", "")</f>
        <v/>
      </c>
      <c r="D31" s="179" t="str">
        <f xml:space="preserve"> "" &amp; 業種_廃棄物</f>
        <v/>
      </c>
      <c r="E31" s="217" t="s">
        <v>314</v>
      </c>
      <c r="F31" s="218" t="s">
        <v>315</v>
      </c>
      <c r="G31" s="221" t="str">
        <f xml:space="preserve"> "" &amp; TEXT(業種_廃棄物_業高, "#,###")</f>
        <v/>
      </c>
      <c r="H31" s="852"/>
      <c r="I31" s="838"/>
    </row>
    <row r="32" spans="1:9" ht="13.5" customHeight="1">
      <c r="A32" s="214"/>
      <c r="B32" s="215"/>
      <c r="C32" s="216" t="str">
        <f>IF(業種_造園_登録="あり", "○", "")</f>
        <v/>
      </c>
      <c r="D32" s="179" t="str">
        <f xml:space="preserve"> "" &amp; 業種_造園</f>
        <v/>
      </c>
      <c r="E32" s="217" t="s">
        <v>316</v>
      </c>
      <c r="F32" s="218" t="s">
        <v>316</v>
      </c>
      <c r="G32" s="221" t="str">
        <f xml:space="preserve"> "" &amp; TEXT(業種_造園_業高, "#,###")</f>
        <v/>
      </c>
      <c r="H32" s="852"/>
      <c r="I32" s="838"/>
    </row>
    <row r="33" spans="1:9" ht="13.5" customHeight="1">
      <c r="A33" s="214" t="s">
        <v>317</v>
      </c>
      <c r="B33" s="215"/>
      <c r="C33" s="216" t="str">
        <f>IF(業種_都地計画_登録="あり", "○", "")</f>
        <v/>
      </c>
      <c r="D33" s="179" t="str">
        <f xml:space="preserve"> "" &amp; 業種_都地計画</f>
        <v/>
      </c>
      <c r="E33" s="217" t="s">
        <v>157</v>
      </c>
      <c r="F33" s="218" t="s">
        <v>318</v>
      </c>
      <c r="G33" s="221" t="str">
        <f xml:space="preserve"> "" &amp; TEXT(業種_都地計画_業高, "#,###")</f>
        <v/>
      </c>
      <c r="H33" s="852" t="str">
        <f>IF(登録_建築士事務所_番号="", "", 登録_建築士事務所_番号 &amp; "号")</f>
        <v/>
      </c>
      <c r="I33" s="838" t="str">
        <f>IF(登録_建築士事務所_日="", "", TEXT(登録_建築士事務所_日,"ggge年m月d日"))</f>
        <v/>
      </c>
    </row>
    <row r="34" spans="1:9" ht="13.5" customHeight="1">
      <c r="A34" s="214"/>
      <c r="B34" s="215"/>
      <c r="C34" s="216" t="str">
        <f>IF(業種_土木地質_登録="あり", "○", "")</f>
        <v/>
      </c>
      <c r="D34" s="179" t="str">
        <f xml:space="preserve"> "" &amp; 業種_土木地質</f>
        <v/>
      </c>
      <c r="E34" s="217" t="s">
        <v>115</v>
      </c>
      <c r="F34" s="218" t="s">
        <v>319</v>
      </c>
      <c r="G34" s="221" t="str">
        <f xml:space="preserve"> "" &amp; TEXT(業種_土木地質_業高, "#,###")</f>
        <v/>
      </c>
      <c r="H34" s="852"/>
      <c r="I34" s="838"/>
    </row>
    <row r="35" spans="1:9" ht="13.5" customHeight="1">
      <c r="A35" s="214"/>
      <c r="B35" s="215"/>
      <c r="C35" s="216" t="str">
        <f>IF(業種_土質基礎_登録="あり", "○", "")</f>
        <v/>
      </c>
      <c r="D35" s="179" t="str">
        <f xml:space="preserve"> "" &amp; 業種_土質基礎</f>
        <v/>
      </c>
      <c r="E35" s="217" t="s">
        <v>158</v>
      </c>
      <c r="F35" s="218" t="s">
        <v>320</v>
      </c>
      <c r="G35" s="221" t="str">
        <f xml:space="preserve"> "" &amp; TEXT(業種_土質基礎_業高, "#,###")</f>
        <v/>
      </c>
      <c r="H35" s="852"/>
      <c r="I35" s="838"/>
    </row>
    <row r="36" spans="1:9" ht="13.5" customHeight="1">
      <c r="A36" s="214"/>
      <c r="B36" s="215"/>
      <c r="C36" s="216" t="str">
        <f>IF(業種_鋼構コン_登録="あり", "○", "")</f>
        <v/>
      </c>
      <c r="D36" s="179" t="str">
        <f xml:space="preserve"> "" &amp; 業種_鋼構コン</f>
        <v/>
      </c>
      <c r="E36" s="217" t="s">
        <v>159</v>
      </c>
      <c r="F36" s="218" t="s">
        <v>321</v>
      </c>
      <c r="G36" s="221" t="str">
        <f xml:space="preserve"> "" &amp; TEXT(業種_鋼構コン_業高, "#,###")</f>
        <v/>
      </c>
      <c r="H36" s="852" t="str">
        <f>IF(登録_建築士事務所_番号="", "", 登録_建築士事務所_番号 &amp; "号")</f>
        <v/>
      </c>
      <c r="I36" s="838" t="str">
        <f>IF(登録_建築士事務所_日="", "", TEXT(登録_建築士事務所_日,"ggge年m月d日"))</f>
        <v/>
      </c>
    </row>
    <row r="37" spans="1:9" ht="13.5" customHeight="1">
      <c r="A37" s="214"/>
      <c r="B37" s="215"/>
      <c r="C37" s="216" t="str">
        <f>IF(業種_トンネル_登録="あり", "○", "")</f>
        <v/>
      </c>
      <c r="D37" s="179" t="str">
        <f xml:space="preserve"> "" &amp; 業種_トンネル</f>
        <v/>
      </c>
      <c r="E37" s="217" t="s">
        <v>116</v>
      </c>
      <c r="F37" s="218" t="s">
        <v>322</v>
      </c>
      <c r="G37" s="221" t="str">
        <f xml:space="preserve"> "" &amp; TEXT(業種_トンネル_業高, "#,###")</f>
        <v/>
      </c>
      <c r="H37" s="852"/>
      <c r="I37" s="838"/>
    </row>
    <row r="38" spans="1:9" ht="13.5" customHeight="1">
      <c r="A38" s="214"/>
      <c r="B38" s="215"/>
      <c r="C38" s="216" t="str">
        <f>IF(業種_施工積算_登録="あり", "○", "")</f>
        <v/>
      </c>
      <c r="D38" s="179" t="str">
        <f xml:space="preserve"> "" &amp; 業種_施工積算</f>
        <v/>
      </c>
      <c r="E38" s="217" t="s">
        <v>160</v>
      </c>
      <c r="F38" s="218" t="s">
        <v>323</v>
      </c>
      <c r="G38" s="221" t="str">
        <f xml:space="preserve"> "" &amp; TEXT(業種_施工積算_業高, "#,###")</f>
        <v/>
      </c>
      <c r="H38" s="852"/>
      <c r="I38" s="838"/>
    </row>
    <row r="39" spans="1:9" ht="13.5" customHeight="1">
      <c r="A39" s="214"/>
      <c r="B39" s="215"/>
      <c r="C39" s="216" t="str">
        <f>IF(業種_建設環境_登録="あり", "○", "")</f>
        <v/>
      </c>
      <c r="D39" s="179" t="str">
        <f xml:space="preserve"> "" &amp; 業種_建設環境</f>
        <v/>
      </c>
      <c r="E39" s="217" t="s">
        <v>117</v>
      </c>
      <c r="F39" s="218" t="s">
        <v>324</v>
      </c>
      <c r="G39" s="221" t="str">
        <f xml:space="preserve"> "" &amp; TEXT(業種_建設環境_業高, "#,###")</f>
        <v/>
      </c>
      <c r="H39" s="852" t="str">
        <f>IF(登録_建築士事務所_番号="", "", 登録_建築士事務所_番号 &amp; "号")</f>
        <v/>
      </c>
      <c r="I39" s="838" t="str">
        <f>IF(登録_建築士事務所_日="", "", TEXT(登録_建築士事務所_日,"ggge年m月d日"))</f>
        <v/>
      </c>
    </row>
    <row r="40" spans="1:9" ht="13.5" customHeight="1">
      <c r="A40" s="214"/>
      <c r="B40" s="215"/>
      <c r="C40" s="216" t="str">
        <f>IF(業種_建設機械_登録="あり", "○", "")</f>
        <v/>
      </c>
      <c r="D40" s="179" t="str">
        <f xml:space="preserve"> "" &amp; 業種_建設機械</f>
        <v/>
      </c>
      <c r="E40" s="217" t="s">
        <v>325</v>
      </c>
      <c r="F40" s="218" t="s">
        <v>326</v>
      </c>
      <c r="G40" s="221" t="str">
        <f xml:space="preserve"> "" &amp; TEXT(業種_建設機械_業高, "#,###")</f>
        <v/>
      </c>
      <c r="H40" s="852"/>
      <c r="I40" s="838"/>
    </row>
    <row r="41" spans="1:9" ht="13.5" customHeight="1" thickBot="1">
      <c r="A41" s="214"/>
      <c r="B41" s="223"/>
      <c r="C41" s="224" t="str">
        <f>IF(業種_電気電子_登録="あり", "○", "")</f>
        <v/>
      </c>
      <c r="D41" s="193" t="str">
        <f xml:space="preserve"> "" &amp; 業種_電気電子</f>
        <v/>
      </c>
      <c r="E41" s="225" t="s">
        <v>327</v>
      </c>
      <c r="F41" s="226" t="s">
        <v>328</v>
      </c>
      <c r="G41" s="227" t="str">
        <f xml:space="preserve"> "" &amp; TEXT(業種_電気電子_業高, "#,###")</f>
        <v/>
      </c>
      <c r="H41" s="853"/>
      <c r="I41" s="854"/>
    </row>
    <row r="42" spans="1:9" ht="13.5" customHeight="1">
      <c r="A42" s="214"/>
      <c r="B42" s="228"/>
      <c r="C42" s="196"/>
      <c r="D42" s="197" t="str">
        <f xml:space="preserve"> "" &amp; 業種_交通調査</f>
        <v/>
      </c>
      <c r="E42" s="198" t="s">
        <v>118</v>
      </c>
      <c r="F42" s="229" t="s">
        <v>329</v>
      </c>
      <c r="G42" s="230"/>
      <c r="H42" s="231"/>
      <c r="I42" s="232"/>
    </row>
    <row r="43" spans="1:9" ht="13.5" customHeight="1">
      <c r="A43" s="214"/>
      <c r="B43" s="233"/>
      <c r="C43" s="196"/>
      <c r="D43" s="179" t="str">
        <f xml:space="preserve"> "" &amp; 業種_環境調査</f>
        <v/>
      </c>
      <c r="E43" s="202" t="s">
        <v>119</v>
      </c>
      <c r="F43" s="199" t="s">
        <v>330</v>
      </c>
      <c r="G43" s="230"/>
      <c r="H43" s="200"/>
      <c r="I43" s="201"/>
    </row>
    <row r="44" spans="1:9" ht="13.5" customHeight="1">
      <c r="A44" s="214"/>
      <c r="B44" s="234"/>
      <c r="C44" s="196"/>
      <c r="D44" s="179" t="str">
        <f xml:space="preserve"> "" &amp; 業種_経済調査</f>
        <v/>
      </c>
      <c r="E44" s="202" t="s">
        <v>120</v>
      </c>
      <c r="F44" s="199" t="s">
        <v>331</v>
      </c>
      <c r="G44" s="230"/>
      <c r="H44" s="200"/>
      <c r="I44" s="201"/>
    </row>
    <row r="45" spans="1:9" ht="13.5" customHeight="1">
      <c r="A45" s="214"/>
      <c r="B45" s="234"/>
      <c r="C45" s="196"/>
      <c r="D45" s="179" t="str">
        <f xml:space="preserve"> "" &amp; 業種_水質分析</f>
        <v/>
      </c>
      <c r="E45" s="202" t="s">
        <v>332</v>
      </c>
      <c r="F45" s="199" t="s">
        <v>333</v>
      </c>
      <c r="G45" s="230"/>
      <c r="H45" s="200"/>
      <c r="I45" s="201"/>
    </row>
    <row r="46" spans="1:9" ht="13.5" customHeight="1">
      <c r="A46" s="235"/>
      <c r="B46" s="233" t="s">
        <v>258</v>
      </c>
      <c r="C46" s="196"/>
      <c r="D46" s="179" t="str">
        <f xml:space="preserve"> "" &amp; 業種_宅地造成</f>
        <v/>
      </c>
      <c r="E46" s="202" t="s">
        <v>121</v>
      </c>
      <c r="F46" s="199" t="s">
        <v>334</v>
      </c>
      <c r="G46" s="230"/>
      <c r="H46" s="200"/>
      <c r="I46" s="201"/>
    </row>
    <row r="47" spans="1:9" ht="13.5" customHeight="1">
      <c r="A47" s="214"/>
      <c r="B47" s="234"/>
      <c r="C47" s="196"/>
      <c r="D47" s="179" t="str">
        <f xml:space="preserve"> "" &amp; 業種_電算関係</f>
        <v/>
      </c>
      <c r="E47" s="202" t="s">
        <v>122</v>
      </c>
      <c r="F47" s="199" t="s">
        <v>335</v>
      </c>
      <c r="G47" s="429"/>
      <c r="H47" s="200"/>
      <c r="I47" s="201"/>
    </row>
    <row r="48" spans="1:9" ht="13.5" customHeight="1">
      <c r="A48" s="214"/>
      <c r="B48" s="234"/>
      <c r="C48" s="196"/>
      <c r="D48" s="179" t="str">
        <f xml:space="preserve"> "" &amp; 業種_計算業務</f>
        <v/>
      </c>
      <c r="E48" s="202" t="s">
        <v>164</v>
      </c>
      <c r="F48" s="199" t="s">
        <v>336</v>
      </c>
      <c r="G48" s="230"/>
      <c r="H48" s="200"/>
      <c r="I48" s="201"/>
    </row>
    <row r="49" spans="1:9" ht="13.5" customHeight="1">
      <c r="A49" s="214"/>
      <c r="B49" s="234"/>
      <c r="C49" s="196"/>
      <c r="D49" s="179" t="str">
        <f xml:space="preserve"> "" &amp; 業種_資料整理</f>
        <v/>
      </c>
      <c r="E49" s="202" t="s">
        <v>123</v>
      </c>
      <c r="F49" s="199" t="s">
        <v>337</v>
      </c>
      <c r="G49" s="230"/>
      <c r="H49" s="200"/>
      <c r="I49" s="201"/>
    </row>
    <row r="50" spans="1:9" ht="13.5" customHeight="1">
      <c r="A50" s="214"/>
      <c r="B50" s="233"/>
      <c r="C50" s="196"/>
      <c r="D50" s="179" t="str">
        <f xml:space="preserve"> "" &amp; 業種_施工管理</f>
        <v/>
      </c>
      <c r="E50" s="204" t="s">
        <v>338</v>
      </c>
      <c r="F50" s="199" t="s">
        <v>339</v>
      </c>
      <c r="G50" s="230"/>
      <c r="H50" s="200"/>
      <c r="I50" s="201"/>
    </row>
    <row r="51" spans="1:9" ht="13.5" customHeight="1">
      <c r="A51" s="236"/>
      <c r="B51" s="233"/>
      <c r="C51" s="237"/>
      <c r="D51" s="238"/>
      <c r="E51" s="239"/>
      <c r="F51" s="240"/>
      <c r="G51" s="241"/>
      <c r="H51" s="206"/>
      <c r="I51" s="207"/>
    </row>
    <row r="52" spans="1:9" ht="7.5" customHeight="1">
      <c r="A52" s="172"/>
      <c r="B52" s="242"/>
      <c r="C52" s="855" t="str">
        <f>IF(AND(登録_地質調査業者_番号&lt;&gt;"",登録_地質調査業者_日&lt;&gt;""), "○","")</f>
        <v/>
      </c>
      <c r="D52" s="858" t="str">
        <f xml:space="preserve"> "" &amp; 業種_地質調査</f>
        <v/>
      </c>
      <c r="E52" s="860" t="s">
        <v>115</v>
      </c>
      <c r="F52" s="862" t="s">
        <v>319</v>
      </c>
      <c r="G52" s="243"/>
      <c r="H52" s="864" t="str">
        <f>IF(登録_地質調査業者_番号="", "", "第" &amp; 登録_地質調査業者_番号 &amp; "号")</f>
        <v/>
      </c>
      <c r="I52" s="837" t="str">
        <f>IF(登録_地質調査業者_日="", "", TEXT(登録_地質調査業者_日,"ggge年m月d日"))</f>
        <v/>
      </c>
    </row>
    <row r="53" spans="1:9" ht="6.75" customHeight="1">
      <c r="A53" s="843" t="s">
        <v>340</v>
      </c>
      <c r="B53" s="844" t="s">
        <v>341</v>
      </c>
      <c r="C53" s="856"/>
      <c r="D53" s="859"/>
      <c r="E53" s="861"/>
      <c r="F53" s="863"/>
      <c r="G53" s="244"/>
      <c r="H53" s="865"/>
      <c r="I53" s="838"/>
    </row>
    <row r="54" spans="1:9" ht="6.75" customHeight="1">
      <c r="A54" s="843"/>
      <c r="B54" s="844"/>
      <c r="C54" s="856"/>
      <c r="D54" s="845" t="str">
        <f xml:space="preserve"> "" &amp; 業種_磁気探査</f>
        <v/>
      </c>
      <c r="E54" s="847" t="s">
        <v>342</v>
      </c>
      <c r="F54" s="849" t="s">
        <v>343</v>
      </c>
      <c r="G54" s="244"/>
      <c r="H54" s="865"/>
      <c r="I54" s="838"/>
    </row>
    <row r="55" spans="1:9" ht="6.75" customHeight="1" thickBot="1">
      <c r="A55" s="183"/>
      <c r="B55" s="245"/>
      <c r="C55" s="857"/>
      <c r="D55" s="846"/>
      <c r="E55" s="848"/>
      <c r="F55" s="850"/>
      <c r="G55" s="246"/>
      <c r="H55" s="866"/>
      <c r="I55" s="839"/>
    </row>
    <row r="56" spans="1:9" ht="13.5" customHeight="1" thickTop="1">
      <c r="A56" s="172"/>
      <c r="B56" s="247"/>
      <c r="C56" s="210" t="str">
        <f>IF(業種_土地調査_登録="あり", "○", "")</f>
        <v/>
      </c>
      <c r="D56" s="248" t="str">
        <f xml:space="preserve"> "" &amp; 業種_土地調査</f>
        <v/>
      </c>
      <c r="E56" s="249" t="s">
        <v>125</v>
      </c>
      <c r="F56" s="250" t="s">
        <v>344</v>
      </c>
      <c r="G56" s="251" t="str">
        <f xml:space="preserve"> "" &amp; TEXT(業種_土地調査_業高, "#,###")</f>
        <v/>
      </c>
      <c r="H56" s="840" t="str">
        <f>IF(登録_補償コンサルタント_番号="", "", "第" &amp; 登録_補償コンサルタント_番号 &amp; "号")</f>
        <v/>
      </c>
      <c r="I56" s="837" t="str">
        <f>IF(登録_補償コンサルタント_日="", "", TEXT(登録_補償コンサルタント_日,"ggge年m月d日"))</f>
        <v/>
      </c>
    </row>
    <row r="57" spans="1:9" ht="13.5" customHeight="1">
      <c r="A57" s="172"/>
      <c r="B57" s="247"/>
      <c r="C57" s="216" t="str">
        <f>IF(業種_土地評価_登録="あり", "○", "")</f>
        <v/>
      </c>
      <c r="D57" s="179" t="str">
        <f xml:space="preserve"> "" &amp; 業種_土地評価</f>
        <v/>
      </c>
      <c r="E57" s="217" t="s">
        <v>126</v>
      </c>
      <c r="F57" s="218" t="s">
        <v>345</v>
      </c>
      <c r="G57" s="252" t="str">
        <f xml:space="preserve"> "" &amp; TEXT(業種_土地評価_業高, "#,###")</f>
        <v/>
      </c>
      <c r="H57" s="841"/>
      <c r="I57" s="838"/>
    </row>
    <row r="58" spans="1:9" ht="13.5" customHeight="1">
      <c r="A58" s="172"/>
      <c r="B58" s="247"/>
      <c r="C58" s="216" t="str">
        <f>IF(業種_物件_登録="あり", "○", "")</f>
        <v/>
      </c>
      <c r="D58" s="179" t="str">
        <f xml:space="preserve"> "" &amp; 業種_物件</f>
        <v/>
      </c>
      <c r="E58" s="217" t="s">
        <v>127</v>
      </c>
      <c r="F58" s="218" t="s">
        <v>346</v>
      </c>
      <c r="G58" s="252" t="str">
        <f xml:space="preserve"> "" &amp; TEXT(業種_物件_業高, "#,###")</f>
        <v/>
      </c>
      <c r="H58" s="841"/>
      <c r="I58" s="838"/>
    </row>
    <row r="59" spans="1:9" ht="13.5" customHeight="1">
      <c r="A59" s="172" t="s">
        <v>347</v>
      </c>
      <c r="B59" s="247" t="s">
        <v>91</v>
      </c>
      <c r="C59" s="216" t="str">
        <f>IF(業種_機械工作_登録="あり", "○", "")</f>
        <v/>
      </c>
      <c r="D59" s="179" t="str">
        <f xml:space="preserve"> "" &amp; 業種_機械工作</f>
        <v/>
      </c>
      <c r="E59" s="217" t="s">
        <v>128</v>
      </c>
      <c r="F59" s="218" t="s">
        <v>348</v>
      </c>
      <c r="G59" s="252" t="str">
        <f xml:space="preserve"> "" &amp; TEXT(業種_機械工作_業高, "#,###")</f>
        <v/>
      </c>
      <c r="H59" s="841"/>
      <c r="I59" s="838"/>
    </row>
    <row r="60" spans="1:9" ht="13.5" customHeight="1">
      <c r="A60" s="172"/>
      <c r="B60" s="247"/>
      <c r="C60" s="216" t="str">
        <f>IF(業種_営業特殊_登録="あり", "○", "")</f>
        <v/>
      </c>
      <c r="D60" s="179" t="str">
        <f xml:space="preserve"> "" &amp; 業種_営業特殊</f>
        <v/>
      </c>
      <c r="E60" s="217" t="s">
        <v>349</v>
      </c>
      <c r="F60" s="218" t="s">
        <v>350</v>
      </c>
      <c r="G60" s="252" t="str">
        <f xml:space="preserve"> "" &amp; TEXT(業種_営業特殊_業高, "#,###")</f>
        <v/>
      </c>
      <c r="H60" s="841"/>
      <c r="I60" s="838"/>
    </row>
    <row r="61" spans="1:9" ht="13.5" customHeight="1">
      <c r="A61" s="172"/>
      <c r="B61" s="247"/>
      <c r="C61" s="216" t="str">
        <f>IF(業種_事業損失_登録="あり", "○", "")</f>
        <v/>
      </c>
      <c r="D61" s="179" t="str">
        <f xml:space="preserve"> "" &amp; 業種_事業損失</f>
        <v/>
      </c>
      <c r="E61" s="217" t="s">
        <v>129</v>
      </c>
      <c r="F61" s="218" t="s">
        <v>351</v>
      </c>
      <c r="G61" s="252" t="str">
        <f xml:space="preserve"> "" &amp; TEXT(業種_事業損失_業高, "#,###")</f>
        <v/>
      </c>
      <c r="H61" s="841"/>
      <c r="I61" s="838"/>
    </row>
    <row r="62" spans="1:9" ht="13.5" customHeight="1">
      <c r="A62" s="172"/>
      <c r="B62" s="247"/>
      <c r="C62" s="253" t="str">
        <f>IF(業種_補償関連_登録="あり", "○", "")</f>
        <v/>
      </c>
      <c r="D62" s="203" t="str">
        <f xml:space="preserve"> "" &amp; 業種_補償関連</f>
        <v/>
      </c>
      <c r="E62" s="254" t="s">
        <v>352</v>
      </c>
      <c r="F62" s="255" t="s">
        <v>353</v>
      </c>
      <c r="G62" s="252" t="str">
        <f xml:space="preserve"> "" &amp; TEXT(業種_補償関連_業高, "#,###")</f>
        <v/>
      </c>
      <c r="H62" s="841"/>
      <c r="I62" s="838"/>
    </row>
    <row r="63" spans="1:9" ht="14.25" customHeight="1" thickBot="1">
      <c r="A63" s="172"/>
      <c r="B63" s="247"/>
      <c r="C63" s="224" t="str">
        <f>IF(業種_総合補償_登録="あり", "○", "")</f>
        <v/>
      </c>
      <c r="D63" s="256" t="str">
        <f xml:space="preserve"> "" &amp; 業種_総合補償</f>
        <v/>
      </c>
      <c r="E63" s="257" t="s">
        <v>354</v>
      </c>
      <c r="F63" s="258" t="s">
        <v>355</v>
      </c>
      <c r="G63" s="259" t="str">
        <f xml:space="preserve"> "" &amp; TEXT(業種_総合補償_業高, "#,###")</f>
        <v/>
      </c>
      <c r="H63" s="842"/>
      <c r="I63" s="839"/>
    </row>
    <row r="64" spans="1:9" ht="1.5" customHeight="1" thickBot="1">
      <c r="A64" s="172"/>
      <c r="B64" s="260"/>
      <c r="C64" s="261"/>
      <c r="D64" s="262"/>
      <c r="E64" s="263"/>
      <c r="F64" s="264"/>
      <c r="G64" s="265"/>
      <c r="H64" s="266"/>
      <c r="I64" s="267"/>
    </row>
    <row r="65" spans="1:9" ht="13.5" customHeight="1" thickBot="1">
      <c r="A65" s="172"/>
      <c r="B65" s="268" t="s">
        <v>356</v>
      </c>
      <c r="C65" s="269" t="str">
        <f>IF(AND(登録_不動産鑑定業者_番号&lt;&gt;"",登録_不動産鑑定業者_日&lt;&gt;""), "○","")</f>
        <v/>
      </c>
      <c r="D65" s="270" t="str">
        <f xml:space="preserve"> "" &amp; 業種_不動鑑定</f>
        <v/>
      </c>
      <c r="E65" s="271" t="s">
        <v>131</v>
      </c>
      <c r="F65" s="272" t="s">
        <v>357</v>
      </c>
      <c r="G65" s="421"/>
      <c r="H65" s="273" t="str">
        <f>IF(登録_不動産鑑定業者_番号="", "", "第" &amp; 登録_不動産鑑定業者_番号 &amp; "号")</f>
        <v/>
      </c>
      <c r="I65" s="274" t="str">
        <f>IF(登録_不動産鑑定業者_日="", "", TEXT(登録_不動産鑑定業者_日,"ggge年m月d日"))</f>
        <v/>
      </c>
    </row>
    <row r="66" spans="1:9" ht="13.5" customHeight="1">
      <c r="A66" s="183"/>
      <c r="B66" s="422"/>
      <c r="C66" s="237"/>
      <c r="D66" s="423" t="str">
        <f xml:space="preserve"> "" &amp; 業種_登記手続</f>
        <v/>
      </c>
      <c r="E66" s="424" t="s">
        <v>358</v>
      </c>
      <c r="F66" s="425" t="s">
        <v>359</v>
      </c>
      <c r="G66" s="426"/>
      <c r="H66" s="427"/>
      <c r="I66" s="428"/>
    </row>
    <row r="67" spans="1:9" ht="6" customHeight="1">
      <c r="A67" s="275"/>
      <c r="B67" s="215"/>
    </row>
    <row r="68" spans="1:9">
      <c r="B68" s="276"/>
      <c r="C68" s="158"/>
      <c r="D68" s="158"/>
      <c r="E68" s="158"/>
      <c r="F68" s="158"/>
      <c r="G68" s="158"/>
      <c r="H68" s="158"/>
      <c r="I68" s="158"/>
    </row>
    <row r="69" spans="1:9">
      <c r="B69" s="276"/>
    </row>
    <row r="70" spans="1:9">
      <c r="B70" s="276"/>
    </row>
    <row r="71" spans="1:9">
      <c r="B71" s="276"/>
    </row>
    <row r="72" spans="1:9">
      <c r="B72" s="158"/>
    </row>
    <row r="73" spans="1:9">
      <c r="B73" s="158"/>
    </row>
    <row r="74" spans="1:9">
      <c r="B74" s="158"/>
    </row>
    <row r="75" spans="1:9">
      <c r="B75" s="158"/>
    </row>
    <row r="76" spans="1:9">
      <c r="B76" s="158"/>
    </row>
    <row r="77" spans="1:9">
      <c r="B77" s="158"/>
    </row>
  </sheetData>
  <sheetProtection algorithmName="SHA-512" hashValue="zf/pzdXuLE57401s3FkxJj25xNdoewWHCN+cmS5rM+7hD9Kj4/4UOFuQK3BULAl94c7Yl21LH31So1kNf2S1NA==" saltValue="dXouKYdOvuHqyGFBb4+vNA==" spinCount="100000" sheet="1" objects="1" scenarios="1" selectLockedCells="1"/>
  <mergeCells count="22">
    <mergeCell ref="G1:I1"/>
    <mergeCell ref="C7:C9"/>
    <mergeCell ref="H7:H9"/>
    <mergeCell ref="I7:I9"/>
    <mergeCell ref="C10:C12"/>
    <mergeCell ref="H10:H12"/>
    <mergeCell ref="I10:I12"/>
    <mergeCell ref="H21:H41"/>
    <mergeCell ref="I21:I41"/>
    <mergeCell ref="C52:C55"/>
    <mergeCell ref="D52:D53"/>
    <mergeCell ref="E52:E53"/>
    <mergeCell ref="F52:F53"/>
    <mergeCell ref="H52:H55"/>
    <mergeCell ref="I52:I55"/>
    <mergeCell ref="I56:I63"/>
    <mergeCell ref="H56:H63"/>
    <mergeCell ref="A53:A54"/>
    <mergeCell ref="B53:B54"/>
    <mergeCell ref="D54:D55"/>
    <mergeCell ref="E54:E55"/>
    <mergeCell ref="F54:F55"/>
  </mergeCells>
  <phoneticPr fontId="5"/>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O71"/>
  <sheetViews>
    <sheetView showGridLines="0" tabSelected="1" workbookViewId="0"/>
  </sheetViews>
  <sheetFormatPr defaultRowHeight="11.25"/>
  <cols>
    <col min="1" max="1" width="1.625" style="279" customWidth="1"/>
    <col min="2" max="2" width="5.125" style="279" customWidth="1"/>
    <col min="3" max="3" width="8" style="278" customWidth="1"/>
    <col min="4" max="4" width="9.25" style="278" customWidth="1"/>
    <col min="5" max="5" width="15.625" style="279" customWidth="1"/>
    <col min="6" max="6" width="29" style="278" hidden="1" customWidth="1"/>
    <col min="7" max="8" width="5.5" style="278" customWidth="1"/>
    <col min="9" max="9" width="5.5" style="279" customWidth="1"/>
    <col min="10" max="10" width="9.25" style="279" customWidth="1"/>
    <col min="11" max="12" width="8" style="279" customWidth="1"/>
    <col min="13" max="13" width="5.875" style="279" customWidth="1"/>
    <col min="14" max="14" width="6.375" style="279" customWidth="1"/>
    <col min="15" max="15" width="0.75" style="279" customWidth="1"/>
    <col min="16" max="256" width="9" style="279"/>
    <col min="257" max="257" width="1.625" style="279" customWidth="1"/>
    <col min="258" max="258" width="5.125" style="279" customWidth="1"/>
    <col min="259" max="259" width="8" style="279" customWidth="1"/>
    <col min="260" max="260" width="9.25" style="279" customWidth="1"/>
    <col min="261" max="261" width="15.625" style="279" customWidth="1"/>
    <col min="262" max="262" width="0" style="279" hidden="1" customWidth="1"/>
    <col min="263" max="265" width="5.5" style="279" customWidth="1"/>
    <col min="266" max="266" width="9.25" style="279" customWidth="1"/>
    <col min="267" max="268" width="8" style="279" customWidth="1"/>
    <col min="269" max="269" width="5.875" style="279" customWidth="1"/>
    <col min="270" max="270" width="6.375" style="279" customWidth="1"/>
    <col min="271" max="271" width="0.75" style="279" customWidth="1"/>
    <col min="272" max="512" width="9" style="279"/>
    <col min="513" max="513" width="1.625" style="279" customWidth="1"/>
    <col min="514" max="514" width="5.125" style="279" customWidth="1"/>
    <col min="515" max="515" width="8" style="279" customWidth="1"/>
    <col min="516" max="516" width="9.25" style="279" customWidth="1"/>
    <col min="517" max="517" width="15.625" style="279" customWidth="1"/>
    <col min="518" max="518" width="0" style="279" hidden="1" customWidth="1"/>
    <col min="519" max="521" width="5.5" style="279" customWidth="1"/>
    <col min="522" max="522" width="9.25" style="279" customWidth="1"/>
    <col min="523" max="524" width="8" style="279" customWidth="1"/>
    <col min="525" max="525" width="5.875" style="279" customWidth="1"/>
    <col min="526" max="526" width="6.375" style="279" customWidth="1"/>
    <col min="527" max="527" width="0.75" style="279" customWidth="1"/>
    <col min="528" max="768" width="9" style="279"/>
    <col min="769" max="769" width="1.625" style="279" customWidth="1"/>
    <col min="770" max="770" width="5.125" style="279" customWidth="1"/>
    <col min="771" max="771" width="8" style="279" customWidth="1"/>
    <col min="772" max="772" width="9.25" style="279" customWidth="1"/>
    <col min="773" max="773" width="15.625" style="279" customWidth="1"/>
    <col min="774" max="774" width="0" style="279" hidden="1" customWidth="1"/>
    <col min="775" max="777" width="5.5" style="279" customWidth="1"/>
    <col min="778" max="778" width="9.25" style="279" customWidth="1"/>
    <col min="779" max="780" width="8" style="279" customWidth="1"/>
    <col min="781" max="781" width="5.875" style="279" customWidth="1"/>
    <col min="782" max="782" width="6.375" style="279" customWidth="1"/>
    <col min="783" max="783" width="0.75" style="279" customWidth="1"/>
    <col min="784" max="1024" width="9" style="279"/>
    <col min="1025" max="1025" width="1.625" style="279" customWidth="1"/>
    <col min="1026" max="1026" width="5.125" style="279" customWidth="1"/>
    <col min="1027" max="1027" width="8" style="279" customWidth="1"/>
    <col min="1028" max="1028" width="9.25" style="279" customWidth="1"/>
    <col min="1029" max="1029" width="15.625" style="279" customWidth="1"/>
    <col min="1030" max="1030" width="0" style="279" hidden="1" customWidth="1"/>
    <col min="1031" max="1033" width="5.5" style="279" customWidth="1"/>
    <col min="1034" max="1034" width="9.25" style="279" customWidth="1"/>
    <col min="1035" max="1036" width="8" style="279" customWidth="1"/>
    <col min="1037" max="1037" width="5.875" style="279" customWidth="1"/>
    <col min="1038" max="1038" width="6.375" style="279" customWidth="1"/>
    <col min="1039" max="1039" width="0.75" style="279" customWidth="1"/>
    <col min="1040" max="1280" width="9" style="279"/>
    <col min="1281" max="1281" width="1.625" style="279" customWidth="1"/>
    <col min="1282" max="1282" width="5.125" style="279" customWidth="1"/>
    <col min="1283" max="1283" width="8" style="279" customWidth="1"/>
    <col min="1284" max="1284" width="9.25" style="279" customWidth="1"/>
    <col min="1285" max="1285" width="15.625" style="279" customWidth="1"/>
    <col min="1286" max="1286" width="0" style="279" hidden="1" customWidth="1"/>
    <col min="1287" max="1289" width="5.5" style="279" customWidth="1"/>
    <col min="1290" max="1290" width="9.25" style="279" customWidth="1"/>
    <col min="1291" max="1292" width="8" style="279" customWidth="1"/>
    <col min="1293" max="1293" width="5.875" style="279" customWidth="1"/>
    <col min="1294" max="1294" width="6.375" style="279" customWidth="1"/>
    <col min="1295" max="1295" width="0.75" style="279" customWidth="1"/>
    <col min="1296" max="1536" width="9" style="279"/>
    <col min="1537" max="1537" width="1.625" style="279" customWidth="1"/>
    <col min="1538" max="1538" width="5.125" style="279" customWidth="1"/>
    <col min="1539" max="1539" width="8" style="279" customWidth="1"/>
    <col min="1540" max="1540" width="9.25" style="279" customWidth="1"/>
    <col min="1541" max="1541" width="15.625" style="279" customWidth="1"/>
    <col min="1542" max="1542" width="0" style="279" hidden="1" customWidth="1"/>
    <col min="1543" max="1545" width="5.5" style="279" customWidth="1"/>
    <col min="1546" max="1546" width="9.25" style="279" customWidth="1"/>
    <col min="1547" max="1548" width="8" style="279" customWidth="1"/>
    <col min="1549" max="1549" width="5.875" style="279" customWidth="1"/>
    <col min="1550" max="1550" width="6.375" style="279" customWidth="1"/>
    <col min="1551" max="1551" width="0.75" style="279" customWidth="1"/>
    <col min="1552" max="1792" width="9" style="279"/>
    <col min="1793" max="1793" width="1.625" style="279" customWidth="1"/>
    <col min="1794" max="1794" width="5.125" style="279" customWidth="1"/>
    <col min="1795" max="1795" width="8" style="279" customWidth="1"/>
    <col min="1796" max="1796" width="9.25" style="279" customWidth="1"/>
    <col min="1797" max="1797" width="15.625" style="279" customWidth="1"/>
    <col min="1798" max="1798" width="0" style="279" hidden="1" customWidth="1"/>
    <col min="1799" max="1801" width="5.5" style="279" customWidth="1"/>
    <col min="1802" max="1802" width="9.25" style="279" customWidth="1"/>
    <col min="1803" max="1804" width="8" style="279" customWidth="1"/>
    <col min="1805" max="1805" width="5.875" style="279" customWidth="1"/>
    <col min="1806" max="1806" width="6.375" style="279" customWidth="1"/>
    <col min="1807" max="1807" width="0.75" style="279" customWidth="1"/>
    <col min="1808" max="2048" width="9" style="279"/>
    <col min="2049" max="2049" width="1.625" style="279" customWidth="1"/>
    <col min="2050" max="2050" width="5.125" style="279" customWidth="1"/>
    <col min="2051" max="2051" width="8" style="279" customWidth="1"/>
    <col min="2052" max="2052" width="9.25" style="279" customWidth="1"/>
    <col min="2053" max="2053" width="15.625" style="279" customWidth="1"/>
    <col min="2054" max="2054" width="0" style="279" hidden="1" customWidth="1"/>
    <col min="2055" max="2057" width="5.5" style="279" customWidth="1"/>
    <col min="2058" max="2058" width="9.25" style="279" customWidth="1"/>
    <col min="2059" max="2060" width="8" style="279" customWidth="1"/>
    <col min="2061" max="2061" width="5.875" style="279" customWidth="1"/>
    <col min="2062" max="2062" width="6.375" style="279" customWidth="1"/>
    <col min="2063" max="2063" width="0.75" style="279" customWidth="1"/>
    <col min="2064" max="2304" width="9" style="279"/>
    <col min="2305" max="2305" width="1.625" style="279" customWidth="1"/>
    <col min="2306" max="2306" width="5.125" style="279" customWidth="1"/>
    <col min="2307" max="2307" width="8" style="279" customWidth="1"/>
    <col min="2308" max="2308" width="9.25" style="279" customWidth="1"/>
    <col min="2309" max="2309" width="15.625" style="279" customWidth="1"/>
    <col min="2310" max="2310" width="0" style="279" hidden="1" customWidth="1"/>
    <col min="2311" max="2313" width="5.5" style="279" customWidth="1"/>
    <col min="2314" max="2314" width="9.25" style="279" customWidth="1"/>
    <col min="2315" max="2316" width="8" style="279" customWidth="1"/>
    <col min="2317" max="2317" width="5.875" style="279" customWidth="1"/>
    <col min="2318" max="2318" width="6.375" style="279" customWidth="1"/>
    <col min="2319" max="2319" width="0.75" style="279" customWidth="1"/>
    <col min="2320" max="2560" width="9" style="279"/>
    <col min="2561" max="2561" width="1.625" style="279" customWidth="1"/>
    <col min="2562" max="2562" width="5.125" style="279" customWidth="1"/>
    <col min="2563" max="2563" width="8" style="279" customWidth="1"/>
    <col min="2564" max="2564" width="9.25" style="279" customWidth="1"/>
    <col min="2565" max="2565" width="15.625" style="279" customWidth="1"/>
    <col min="2566" max="2566" width="0" style="279" hidden="1" customWidth="1"/>
    <col min="2567" max="2569" width="5.5" style="279" customWidth="1"/>
    <col min="2570" max="2570" width="9.25" style="279" customWidth="1"/>
    <col min="2571" max="2572" width="8" style="279" customWidth="1"/>
    <col min="2573" max="2573" width="5.875" style="279" customWidth="1"/>
    <col min="2574" max="2574" width="6.375" style="279" customWidth="1"/>
    <col min="2575" max="2575" width="0.75" style="279" customWidth="1"/>
    <col min="2576" max="2816" width="9" style="279"/>
    <col min="2817" max="2817" width="1.625" style="279" customWidth="1"/>
    <col min="2818" max="2818" width="5.125" style="279" customWidth="1"/>
    <col min="2819" max="2819" width="8" style="279" customWidth="1"/>
    <col min="2820" max="2820" width="9.25" style="279" customWidth="1"/>
    <col min="2821" max="2821" width="15.625" style="279" customWidth="1"/>
    <col min="2822" max="2822" width="0" style="279" hidden="1" customWidth="1"/>
    <col min="2823" max="2825" width="5.5" style="279" customWidth="1"/>
    <col min="2826" max="2826" width="9.25" style="279" customWidth="1"/>
    <col min="2827" max="2828" width="8" style="279" customWidth="1"/>
    <col min="2829" max="2829" width="5.875" style="279" customWidth="1"/>
    <col min="2830" max="2830" width="6.375" style="279" customWidth="1"/>
    <col min="2831" max="2831" width="0.75" style="279" customWidth="1"/>
    <col min="2832" max="3072" width="9" style="279"/>
    <col min="3073" max="3073" width="1.625" style="279" customWidth="1"/>
    <col min="3074" max="3074" width="5.125" style="279" customWidth="1"/>
    <col min="3075" max="3075" width="8" style="279" customWidth="1"/>
    <col min="3076" max="3076" width="9.25" style="279" customWidth="1"/>
    <col min="3077" max="3077" width="15.625" style="279" customWidth="1"/>
    <col min="3078" max="3078" width="0" style="279" hidden="1" customWidth="1"/>
    <col min="3079" max="3081" width="5.5" style="279" customWidth="1"/>
    <col min="3082" max="3082" width="9.25" style="279" customWidth="1"/>
    <col min="3083" max="3084" width="8" style="279" customWidth="1"/>
    <col min="3085" max="3085" width="5.875" style="279" customWidth="1"/>
    <col min="3086" max="3086" width="6.375" style="279" customWidth="1"/>
    <col min="3087" max="3087" width="0.75" style="279" customWidth="1"/>
    <col min="3088" max="3328" width="9" style="279"/>
    <col min="3329" max="3329" width="1.625" style="279" customWidth="1"/>
    <col min="3330" max="3330" width="5.125" style="279" customWidth="1"/>
    <col min="3331" max="3331" width="8" style="279" customWidth="1"/>
    <col min="3332" max="3332" width="9.25" style="279" customWidth="1"/>
    <col min="3333" max="3333" width="15.625" style="279" customWidth="1"/>
    <col min="3334" max="3334" width="0" style="279" hidden="1" customWidth="1"/>
    <col min="3335" max="3337" width="5.5" style="279" customWidth="1"/>
    <col min="3338" max="3338" width="9.25" style="279" customWidth="1"/>
    <col min="3339" max="3340" width="8" style="279" customWidth="1"/>
    <col min="3341" max="3341" width="5.875" style="279" customWidth="1"/>
    <col min="3342" max="3342" width="6.375" style="279" customWidth="1"/>
    <col min="3343" max="3343" width="0.75" style="279" customWidth="1"/>
    <col min="3344" max="3584" width="9" style="279"/>
    <col min="3585" max="3585" width="1.625" style="279" customWidth="1"/>
    <col min="3586" max="3586" width="5.125" style="279" customWidth="1"/>
    <col min="3587" max="3587" width="8" style="279" customWidth="1"/>
    <col min="3588" max="3588" width="9.25" style="279" customWidth="1"/>
    <col min="3589" max="3589" width="15.625" style="279" customWidth="1"/>
    <col min="3590" max="3590" width="0" style="279" hidden="1" customWidth="1"/>
    <col min="3591" max="3593" width="5.5" style="279" customWidth="1"/>
    <col min="3594" max="3594" width="9.25" style="279" customWidth="1"/>
    <col min="3595" max="3596" width="8" style="279" customWidth="1"/>
    <col min="3597" max="3597" width="5.875" style="279" customWidth="1"/>
    <col min="3598" max="3598" width="6.375" style="279" customWidth="1"/>
    <col min="3599" max="3599" width="0.75" style="279" customWidth="1"/>
    <col min="3600" max="3840" width="9" style="279"/>
    <col min="3841" max="3841" width="1.625" style="279" customWidth="1"/>
    <col min="3842" max="3842" width="5.125" style="279" customWidth="1"/>
    <col min="3843" max="3843" width="8" style="279" customWidth="1"/>
    <col min="3844" max="3844" width="9.25" style="279" customWidth="1"/>
    <col min="3845" max="3845" width="15.625" style="279" customWidth="1"/>
    <col min="3846" max="3846" width="0" style="279" hidden="1" customWidth="1"/>
    <col min="3847" max="3849" width="5.5" style="279" customWidth="1"/>
    <col min="3850" max="3850" width="9.25" style="279" customWidth="1"/>
    <col min="3851" max="3852" width="8" style="279" customWidth="1"/>
    <col min="3853" max="3853" width="5.875" style="279" customWidth="1"/>
    <col min="3854" max="3854" width="6.375" style="279" customWidth="1"/>
    <col min="3855" max="3855" width="0.75" style="279" customWidth="1"/>
    <col min="3856" max="4096" width="9" style="279"/>
    <col min="4097" max="4097" width="1.625" style="279" customWidth="1"/>
    <col min="4098" max="4098" width="5.125" style="279" customWidth="1"/>
    <col min="4099" max="4099" width="8" style="279" customWidth="1"/>
    <col min="4100" max="4100" width="9.25" style="279" customWidth="1"/>
    <col min="4101" max="4101" width="15.625" style="279" customWidth="1"/>
    <col min="4102" max="4102" width="0" style="279" hidden="1" customWidth="1"/>
    <col min="4103" max="4105" width="5.5" style="279" customWidth="1"/>
    <col min="4106" max="4106" width="9.25" style="279" customWidth="1"/>
    <col min="4107" max="4108" width="8" style="279" customWidth="1"/>
    <col min="4109" max="4109" width="5.875" style="279" customWidth="1"/>
    <col min="4110" max="4110" width="6.375" style="279" customWidth="1"/>
    <col min="4111" max="4111" width="0.75" style="279" customWidth="1"/>
    <col min="4112" max="4352" width="9" style="279"/>
    <col min="4353" max="4353" width="1.625" style="279" customWidth="1"/>
    <col min="4354" max="4354" width="5.125" style="279" customWidth="1"/>
    <col min="4355" max="4355" width="8" style="279" customWidth="1"/>
    <col min="4356" max="4356" width="9.25" style="279" customWidth="1"/>
    <col min="4357" max="4357" width="15.625" style="279" customWidth="1"/>
    <col min="4358" max="4358" width="0" style="279" hidden="1" customWidth="1"/>
    <col min="4359" max="4361" width="5.5" style="279" customWidth="1"/>
    <col min="4362" max="4362" width="9.25" style="279" customWidth="1"/>
    <col min="4363" max="4364" width="8" style="279" customWidth="1"/>
    <col min="4365" max="4365" width="5.875" style="279" customWidth="1"/>
    <col min="4366" max="4366" width="6.375" style="279" customWidth="1"/>
    <col min="4367" max="4367" width="0.75" style="279" customWidth="1"/>
    <col min="4368" max="4608" width="9" style="279"/>
    <col min="4609" max="4609" width="1.625" style="279" customWidth="1"/>
    <col min="4610" max="4610" width="5.125" style="279" customWidth="1"/>
    <col min="4611" max="4611" width="8" style="279" customWidth="1"/>
    <col min="4612" max="4612" width="9.25" style="279" customWidth="1"/>
    <col min="4613" max="4613" width="15.625" style="279" customWidth="1"/>
    <col min="4614" max="4614" width="0" style="279" hidden="1" customWidth="1"/>
    <col min="4615" max="4617" width="5.5" style="279" customWidth="1"/>
    <col min="4618" max="4618" width="9.25" style="279" customWidth="1"/>
    <col min="4619" max="4620" width="8" style="279" customWidth="1"/>
    <col min="4621" max="4621" width="5.875" style="279" customWidth="1"/>
    <col min="4622" max="4622" width="6.375" style="279" customWidth="1"/>
    <col min="4623" max="4623" width="0.75" style="279" customWidth="1"/>
    <col min="4624" max="4864" width="9" style="279"/>
    <col min="4865" max="4865" width="1.625" style="279" customWidth="1"/>
    <col min="4866" max="4866" width="5.125" style="279" customWidth="1"/>
    <col min="4867" max="4867" width="8" style="279" customWidth="1"/>
    <col min="4868" max="4868" width="9.25" style="279" customWidth="1"/>
    <col min="4869" max="4869" width="15.625" style="279" customWidth="1"/>
    <col min="4870" max="4870" width="0" style="279" hidden="1" customWidth="1"/>
    <col min="4871" max="4873" width="5.5" style="279" customWidth="1"/>
    <col min="4874" max="4874" width="9.25" style="279" customWidth="1"/>
    <col min="4875" max="4876" width="8" style="279" customWidth="1"/>
    <col min="4877" max="4877" width="5.875" style="279" customWidth="1"/>
    <col min="4878" max="4878" width="6.375" style="279" customWidth="1"/>
    <col min="4879" max="4879" width="0.75" style="279" customWidth="1"/>
    <col min="4880" max="5120" width="9" style="279"/>
    <col min="5121" max="5121" width="1.625" style="279" customWidth="1"/>
    <col min="5122" max="5122" width="5.125" style="279" customWidth="1"/>
    <col min="5123" max="5123" width="8" style="279" customWidth="1"/>
    <col min="5124" max="5124" width="9.25" style="279" customWidth="1"/>
    <col min="5125" max="5125" width="15.625" style="279" customWidth="1"/>
    <col min="5126" max="5126" width="0" style="279" hidden="1" customWidth="1"/>
    <col min="5127" max="5129" width="5.5" style="279" customWidth="1"/>
    <col min="5130" max="5130" width="9.25" style="279" customWidth="1"/>
    <col min="5131" max="5132" width="8" style="279" customWidth="1"/>
    <col min="5133" max="5133" width="5.875" style="279" customWidth="1"/>
    <col min="5134" max="5134" width="6.375" style="279" customWidth="1"/>
    <col min="5135" max="5135" width="0.75" style="279" customWidth="1"/>
    <col min="5136" max="5376" width="9" style="279"/>
    <col min="5377" max="5377" width="1.625" style="279" customWidth="1"/>
    <col min="5378" max="5378" width="5.125" style="279" customWidth="1"/>
    <col min="5379" max="5379" width="8" style="279" customWidth="1"/>
    <col min="5380" max="5380" width="9.25" style="279" customWidth="1"/>
    <col min="5381" max="5381" width="15.625" style="279" customWidth="1"/>
    <col min="5382" max="5382" width="0" style="279" hidden="1" customWidth="1"/>
    <col min="5383" max="5385" width="5.5" style="279" customWidth="1"/>
    <col min="5386" max="5386" width="9.25" style="279" customWidth="1"/>
    <col min="5387" max="5388" width="8" style="279" customWidth="1"/>
    <col min="5389" max="5389" width="5.875" style="279" customWidth="1"/>
    <col min="5390" max="5390" width="6.375" style="279" customWidth="1"/>
    <col min="5391" max="5391" width="0.75" style="279" customWidth="1"/>
    <col min="5392" max="5632" width="9" style="279"/>
    <col min="5633" max="5633" width="1.625" style="279" customWidth="1"/>
    <col min="5634" max="5634" width="5.125" style="279" customWidth="1"/>
    <col min="5635" max="5635" width="8" style="279" customWidth="1"/>
    <col min="5636" max="5636" width="9.25" style="279" customWidth="1"/>
    <col min="5637" max="5637" width="15.625" style="279" customWidth="1"/>
    <col min="5638" max="5638" width="0" style="279" hidden="1" customWidth="1"/>
    <col min="5639" max="5641" width="5.5" style="279" customWidth="1"/>
    <col min="5642" max="5642" width="9.25" style="279" customWidth="1"/>
    <col min="5643" max="5644" width="8" style="279" customWidth="1"/>
    <col min="5645" max="5645" width="5.875" style="279" customWidth="1"/>
    <col min="5646" max="5646" width="6.375" style="279" customWidth="1"/>
    <col min="5647" max="5647" width="0.75" style="279" customWidth="1"/>
    <col min="5648" max="5888" width="9" style="279"/>
    <col min="5889" max="5889" width="1.625" style="279" customWidth="1"/>
    <col min="5890" max="5890" width="5.125" style="279" customWidth="1"/>
    <col min="5891" max="5891" width="8" style="279" customWidth="1"/>
    <col min="5892" max="5892" width="9.25" style="279" customWidth="1"/>
    <col min="5893" max="5893" width="15.625" style="279" customWidth="1"/>
    <col min="5894" max="5894" width="0" style="279" hidden="1" customWidth="1"/>
    <col min="5895" max="5897" width="5.5" style="279" customWidth="1"/>
    <col min="5898" max="5898" width="9.25" style="279" customWidth="1"/>
    <col min="5899" max="5900" width="8" style="279" customWidth="1"/>
    <col min="5901" max="5901" width="5.875" style="279" customWidth="1"/>
    <col min="5902" max="5902" width="6.375" style="279" customWidth="1"/>
    <col min="5903" max="5903" width="0.75" style="279" customWidth="1"/>
    <col min="5904" max="6144" width="9" style="279"/>
    <col min="6145" max="6145" width="1.625" style="279" customWidth="1"/>
    <col min="6146" max="6146" width="5.125" style="279" customWidth="1"/>
    <col min="6147" max="6147" width="8" style="279" customWidth="1"/>
    <col min="6148" max="6148" width="9.25" style="279" customWidth="1"/>
    <col min="6149" max="6149" width="15.625" style="279" customWidth="1"/>
    <col min="6150" max="6150" width="0" style="279" hidden="1" customWidth="1"/>
    <col min="6151" max="6153" width="5.5" style="279" customWidth="1"/>
    <col min="6154" max="6154" width="9.25" style="279" customWidth="1"/>
    <col min="6155" max="6156" width="8" style="279" customWidth="1"/>
    <col min="6157" max="6157" width="5.875" style="279" customWidth="1"/>
    <col min="6158" max="6158" width="6.375" style="279" customWidth="1"/>
    <col min="6159" max="6159" width="0.75" style="279" customWidth="1"/>
    <col min="6160" max="6400" width="9" style="279"/>
    <col min="6401" max="6401" width="1.625" style="279" customWidth="1"/>
    <col min="6402" max="6402" width="5.125" style="279" customWidth="1"/>
    <col min="6403" max="6403" width="8" style="279" customWidth="1"/>
    <col min="6404" max="6404" width="9.25" style="279" customWidth="1"/>
    <col min="6405" max="6405" width="15.625" style="279" customWidth="1"/>
    <col min="6406" max="6406" width="0" style="279" hidden="1" customWidth="1"/>
    <col min="6407" max="6409" width="5.5" style="279" customWidth="1"/>
    <col min="6410" max="6410" width="9.25" style="279" customWidth="1"/>
    <col min="6411" max="6412" width="8" style="279" customWidth="1"/>
    <col min="6413" max="6413" width="5.875" style="279" customWidth="1"/>
    <col min="6414" max="6414" width="6.375" style="279" customWidth="1"/>
    <col min="6415" max="6415" width="0.75" style="279" customWidth="1"/>
    <col min="6416" max="6656" width="9" style="279"/>
    <col min="6657" max="6657" width="1.625" style="279" customWidth="1"/>
    <col min="6658" max="6658" width="5.125" style="279" customWidth="1"/>
    <col min="6659" max="6659" width="8" style="279" customWidth="1"/>
    <col min="6660" max="6660" width="9.25" style="279" customWidth="1"/>
    <col min="6661" max="6661" width="15.625" style="279" customWidth="1"/>
    <col min="6662" max="6662" width="0" style="279" hidden="1" customWidth="1"/>
    <col min="6663" max="6665" width="5.5" style="279" customWidth="1"/>
    <col min="6666" max="6666" width="9.25" style="279" customWidth="1"/>
    <col min="6667" max="6668" width="8" style="279" customWidth="1"/>
    <col min="6669" max="6669" width="5.875" style="279" customWidth="1"/>
    <col min="6670" max="6670" width="6.375" style="279" customWidth="1"/>
    <col min="6671" max="6671" width="0.75" style="279" customWidth="1"/>
    <col min="6672" max="6912" width="9" style="279"/>
    <col min="6913" max="6913" width="1.625" style="279" customWidth="1"/>
    <col min="6914" max="6914" width="5.125" style="279" customWidth="1"/>
    <col min="6915" max="6915" width="8" style="279" customWidth="1"/>
    <col min="6916" max="6916" width="9.25" style="279" customWidth="1"/>
    <col min="6917" max="6917" width="15.625" style="279" customWidth="1"/>
    <col min="6918" max="6918" width="0" style="279" hidden="1" customWidth="1"/>
    <col min="6919" max="6921" width="5.5" style="279" customWidth="1"/>
    <col min="6922" max="6922" width="9.25" style="279" customWidth="1"/>
    <col min="6923" max="6924" width="8" style="279" customWidth="1"/>
    <col min="6925" max="6925" width="5.875" style="279" customWidth="1"/>
    <col min="6926" max="6926" width="6.375" style="279" customWidth="1"/>
    <col min="6927" max="6927" width="0.75" style="279" customWidth="1"/>
    <col min="6928" max="7168" width="9" style="279"/>
    <col min="7169" max="7169" width="1.625" style="279" customWidth="1"/>
    <col min="7170" max="7170" width="5.125" style="279" customWidth="1"/>
    <col min="7171" max="7171" width="8" style="279" customWidth="1"/>
    <col min="7172" max="7172" width="9.25" style="279" customWidth="1"/>
    <col min="7173" max="7173" width="15.625" style="279" customWidth="1"/>
    <col min="7174" max="7174" width="0" style="279" hidden="1" customWidth="1"/>
    <col min="7175" max="7177" width="5.5" style="279" customWidth="1"/>
    <col min="7178" max="7178" width="9.25" style="279" customWidth="1"/>
    <col min="7179" max="7180" width="8" style="279" customWidth="1"/>
    <col min="7181" max="7181" width="5.875" style="279" customWidth="1"/>
    <col min="7182" max="7182" width="6.375" style="279" customWidth="1"/>
    <col min="7183" max="7183" width="0.75" style="279" customWidth="1"/>
    <col min="7184" max="7424" width="9" style="279"/>
    <col min="7425" max="7425" width="1.625" style="279" customWidth="1"/>
    <col min="7426" max="7426" width="5.125" style="279" customWidth="1"/>
    <col min="7427" max="7427" width="8" style="279" customWidth="1"/>
    <col min="7428" max="7428" width="9.25" style="279" customWidth="1"/>
    <col min="7429" max="7429" width="15.625" style="279" customWidth="1"/>
    <col min="7430" max="7430" width="0" style="279" hidden="1" customWidth="1"/>
    <col min="7431" max="7433" width="5.5" style="279" customWidth="1"/>
    <col min="7434" max="7434" width="9.25" style="279" customWidth="1"/>
    <col min="7435" max="7436" width="8" style="279" customWidth="1"/>
    <col min="7437" max="7437" width="5.875" style="279" customWidth="1"/>
    <col min="7438" max="7438" width="6.375" style="279" customWidth="1"/>
    <col min="7439" max="7439" width="0.75" style="279" customWidth="1"/>
    <col min="7440" max="7680" width="9" style="279"/>
    <col min="7681" max="7681" width="1.625" style="279" customWidth="1"/>
    <col min="7682" max="7682" width="5.125" style="279" customWidth="1"/>
    <col min="7683" max="7683" width="8" style="279" customWidth="1"/>
    <col min="7684" max="7684" width="9.25" style="279" customWidth="1"/>
    <col min="7685" max="7685" width="15.625" style="279" customWidth="1"/>
    <col min="7686" max="7686" width="0" style="279" hidden="1" customWidth="1"/>
    <col min="7687" max="7689" width="5.5" style="279" customWidth="1"/>
    <col min="7690" max="7690" width="9.25" style="279" customWidth="1"/>
    <col min="7691" max="7692" width="8" style="279" customWidth="1"/>
    <col min="7693" max="7693" width="5.875" style="279" customWidth="1"/>
    <col min="7694" max="7694" width="6.375" style="279" customWidth="1"/>
    <col min="7695" max="7695" width="0.75" style="279" customWidth="1"/>
    <col min="7696" max="7936" width="9" style="279"/>
    <col min="7937" max="7937" width="1.625" style="279" customWidth="1"/>
    <col min="7938" max="7938" width="5.125" style="279" customWidth="1"/>
    <col min="7939" max="7939" width="8" style="279" customWidth="1"/>
    <col min="7940" max="7940" width="9.25" style="279" customWidth="1"/>
    <col min="7941" max="7941" width="15.625" style="279" customWidth="1"/>
    <col min="7942" max="7942" width="0" style="279" hidden="1" customWidth="1"/>
    <col min="7943" max="7945" width="5.5" style="279" customWidth="1"/>
    <col min="7946" max="7946" width="9.25" style="279" customWidth="1"/>
    <col min="7947" max="7948" width="8" style="279" customWidth="1"/>
    <col min="7949" max="7949" width="5.875" style="279" customWidth="1"/>
    <col min="7950" max="7950" width="6.375" style="279" customWidth="1"/>
    <col min="7951" max="7951" width="0.75" style="279" customWidth="1"/>
    <col min="7952" max="8192" width="9" style="279"/>
    <col min="8193" max="8193" width="1.625" style="279" customWidth="1"/>
    <col min="8194" max="8194" width="5.125" style="279" customWidth="1"/>
    <col min="8195" max="8195" width="8" style="279" customWidth="1"/>
    <col min="8196" max="8196" width="9.25" style="279" customWidth="1"/>
    <col min="8197" max="8197" width="15.625" style="279" customWidth="1"/>
    <col min="8198" max="8198" width="0" style="279" hidden="1" customWidth="1"/>
    <col min="8199" max="8201" width="5.5" style="279" customWidth="1"/>
    <col min="8202" max="8202" width="9.25" style="279" customWidth="1"/>
    <col min="8203" max="8204" width="8" style="279" customWidth="1"/>
    <col min="8205" max="8205" width="5.875" style="279" customWidth="1"/>
    <col min="8206" max="8206" width="6.375" style="279" customWidth="1"/>
    <col min="8207" max="8207" width="0.75" style="279" customWidth="1"/>
    <col min="8208" max="8448" width="9" style="279"/>
    <col min="8449" max="8449" width="1.625" style="279" customWidth="1"/>
    <col min="8450" max="8450" width="5.125" style="279" customWidth="1"/>
    <col min="8451" max="8451" width="8" style="279" customWidth="1"/>
    <col min="8452" max="8452" width="9.25" style="279" customWidth="1"/>
    <col min="8453" max="8453" width="15.625" style="279" customWidth="1"/>
    <col min="8454" max="8454" width="0" style="279" hidden="1" customWidth="1"/>
    <col min="8455" max="8457" width="5.5" style="279" customWidth="1"/>
    <col min="8458" max="8458" width="9.25" style="279" customWidth="1"/>
    <col min="8459" max="8460" width="8" style="279" customWidth="1"/>
    <col min="8461" max="8461" width="5.875" style="279" customWidth="1"/>
    <col min="8462" max="8462" width="6.375" style="279" customWidth="1"/>
    <col min="8463" max="8463" width="0.75" style="279" customWidth="1"/>
    <col min="8464" max="8704" width="9" style="279"/>
    <col min="8705" max="8705" width="1.625" style="279" customWidth="1"/>
    <col min="8706" max="8706" width="5.125" style="279" customWidth="1"/>
    <col min="8707" max="8707" width="8" style="279" customWidth="1"/>
    <col min="8708" max="8708" width="9.25" style="279" customWidth="1"/>
    <col min="8709" max="8709" width="15.625" style="279" customWidth="1"/>
    <col min="8710" max="8710" width="0" style="279" hidden="1" customWidth="1"/>
    <col min="8711" max="8713" width="5.5" style="279" customWidth="1"/>
    <col min="8714" max="8714" width="9.25" style="279" customWidth="1"/>
    <col min="8715" max="8716" width="8" style="279" customWidth="1"/>
    <col min="8717" max="8717" width="5.875" style="279" customWidth="1"/>
    <col min="8718" max="8718" width="6.375" style="279" customWidth="1"/>
    <col min="8719" max="8719" width="0.75" style="279" customWidth="1"/>
    <col min="8720" max="8960" width="9" style="279"/>
    <col min="8961" max="8961" width="1.625" style="279" customWidth="1"/>
    <col min="8962" max="8962" width="5.125" style="279" customWidth="1"/>
    <col min="8963" max="8963" width="8" style="279" customWidth="1"/>
    <col min="8964" max="8964" width="9.25" style="279" customWidth="1"/>
    <col min="8965" max="8965" width="15.625" style="279" customWidth="1"/>
    <col min="8966" max="8966" width="0" style="279" hidden="1" customWidth="1"/>
    <col min="8967" max="8969" width="5.5" style="279" customWidth="1"/>
    <col min="8970" max="8970" width="9.25" style="279" customWidth="1"/>
    <col min="8971" max="8972" width="8" style="279" customWidth="1"/>
    <col min="8973" max="8973" width="5.875" style="279" customWidth="1"/>
    <col min="8974" max="8974" width="6.375" style="279" customWidth="1"/>
    <col min="8975" max="8975" width="0.75" style="279" customWidth="1"/>
    <col min="8976" max="9216" width="9" style="279"/>
    <col min="9217" max="9217" width="1.625" style="279" customWidth="1"/>
    <col min="9218" max="9218" width="5.125" style="279" customWidth="1"/>
    <col min="9219" max="9219" width="8" style="279" customWidth="1"/>
    <col min="9220" max="9220" width="9.25" style="279" customWidth="1"/>
    <col min="9221" max="9221" width="15.625" style="279" customWidth="1"/>
    <col min="9222" max="9222" width="0" style="279" hidden="1" customWidth="1"/>
    <col min="9223" max="9225" width="5.5" style="279" customWidth="1"/>
    <col min="9226" max="9226" width="9.25" style="279" customWidth="1"/>
    <col min="9227" max="9228" width="8" style="279" customWidth="1"/>
    <col min="9229" max="9229" width="5.875" style="279" customWidth="1"/>
    <col min="9230" max="9230" width="6.375" style="279" customWidth="1"/>
    <col min="9231" max="9231" width="0.75" style="279" customWidth="1"/>
    <col min="9232" max="9472" width="9" style="279"/>
    <col min="9473" max="9473" width="1.625" style="279" customWidth="1"/>
    <col min="9474" max="9474" width="5.125" style="279" customWidth="1"/>
    <col min="9475" max="9475" width="8" style="279" customWidth="1"/>
    <col min="9476" max="9476" width="9.25" style="279" customWidth="1"/>
    <col min="9477" max="9477" width="15.625" style="279" customWidth="1"/>
    <col min="9478" max="9478" width="0" style="279" hidden="1" customWidth="1"/>
    <col min="9479" max="9481" width="5.5" style="279" customWidth="1"/>
    <col min="9482" max="9482" width="9.25" style="279" customWidth="1"/>
    <col min="9483" max="9484" width="8" style="279" customWidth="1"/>
    <col min="9485" max="9485" width="5.875" style="279" customWidth="1"/>
    <col min="9486" max="9486" width="6.375" style="279" customWidth="1"/>
    <col min="9487" max="9487" width="0.75" style="279" customWidth="1"/>
    <col min="9488" max="9728" width="9" style="279"/>
    <col min="9729" max="9729" width="1.625" style="279" customWidth="1"/>
    <col min="9730" max="9730" width="5.125" style="279" customWidth="1"/>
    <col min="9731" max="9731" width="8" style="279" customWidth="1"/>
    <col min="9732" max="9732" width="9.25" style="279" customWidth="1"/>
    <col min="9733" max="9733" width="15.625" style="279" customWidth="1"/>
    <col min="9734" max="9734" width="0" style="279" hidden="1" customWidth="1"/>
    <col min="9735" max="9737" width="5.5" style="279" customWidth="1"/>
    <col min="9738" max="9738" width="9.25" style="279" customWidth="1"/>
    <col min="9739" max="9740" width="8" style="279" customWidth="1"/>
    <col min="9741" max="9741" width="5.875" style="279" customWidth="1"/>
    <col min="9742" max="9742" width="6.375" style="279" customWidth="1"/>
    <col min="9743" max="9743" width="0.75" style="279" customWidth="1"/>
    <col min="9744" max="9984" width="9" style="279"/>
    <col min="9985" max="9985" width="1.625" style="279" customWidth="1"/>
    <col min="9986" max="9986" width="5.125" style="279" customWidth="1"/>
    <col min="9987" max="9987" width="8" style="279" customWidth="1"/>
    <col min="9988" max="9988" width="9.25" style="279" customWidth="1"/>
    <col min="9989" max="9989" width="15.625" style="279" customWidth="1"/>
    <col min="9990" max="9990" width="0" style="279" hidden="1" customWidth="1"/>
    <col min="9991" max="9993" width="5.5" style="279" customWidth="1"/>
    <col min="9994" max="9994" width="9.25" style="279" customWidth="1"/>
    <col min="9995" max="9996" width="8" style="279" customWidth="1"/>
    <col min="9997" max="9997" width="5.875" style="279" customWidth="1"/>
    <col min="9998" max="9998" width="6.375" style="279" customWidth="1"/>
    <col min="9999" max="9999" width="0.75" style="279" customWidth="1"/>
    <col min="10000" max="10240" width="9" style="279"/>
    <col min="10241" max="10241" width="1.625" style="279" customWidth="1"/>
    <col min="10242" max="10242" width="5.125" style="279" customWidth="1"/>
    <col min="10243" max="10243" width="8" style="279" customWidth="1"/>
    <col min="10244" max="10244" width="9.25" style="279" customWidth="1"/>
    <col min="10245" max="10245" width="15.625" style="279" customWidth="1"/>
    <col min="10246" max="10246" width="0" style="279" hidden="1" customWidth="1"/>
    <col min="10247" max="10249" width="5.5" style="279" customWidth="1"/>
    <col min="10250" max="10250" width="9.25" style="279" customWidth="1"/>
    <col min="10251" max="10252" width="8" style="279" customWidth="1"/>
    <col min="10253" max="10253" width="5.875" style="279" customWidth="1"/>
    <col min="10254" max="10254" width="6.375" style="279" customWidth="1"/>
    <col min="10255" max="10255" width="0.75" style="279" customWidth="1"/>
    <col min="10256" max="10496" width="9" style="279"/>
    <col min="10497" max="10497" width="1.625" style="279" customWidth="1"/>
    <col min="10498" max="10498" width="5.125" style="279" customWidth="1"/>
    <col min="10499" max="10499" width="8" style="279" customWidth="1"/>
    <col min="10500" max="10500" width="9.25" style="279" customWidth="1"/>
    <col min="10501" max="10501" width="15.625" style="279" customWidth="1"/>
    <col min="10502" max="10502" width="0" style="279" hidden="1" customWidth="1"/>
    <col min="10503" max="10505" width="5.5" style="279" customWidth="1"/>
    <col min="10506" max="10506" width="9.25" style="279" customWidth="1"/>
    <col min="10507" max="10508" width="8" style="279" customWidth="1"/>
    <col min="10509" max="10509" width="5.875" style="279" customWidth="1"/>
    <col min="10510" max="10510" width="6.375" style="279" customWidth="1"/>
    <col min="10511" max="10511" width="0.75" style="279" customWidth="1"/>
    <col min="10512" max="10752" width="9" style="279"/>
    <col min="10753" max="10753" width="1.625" style="279" customWidth="1"/>
    <col min="10754" max="10754" width="5.125" style="279" customWidth="1"/>
    <col min="10755" max="10755" width="8" style="279" customWidth="1"/>
    <col min="10756" max="10756" width="9.25" style="279" customWidth="1"/>
    <col min="10757" max="10757" width="15.625" style="279" customWidth="1"/>
    <col min="10758" max="10758" width="0" style="279" hidden="1" customWidth="1"/>
    <col min="10759" max="10761" width="5.5" style="279" customWidth="1"/>
    <col min="10762" max="10762" width="9.25" style="279" customWidth="1"/>
    <col min="10763" max="10764" width="8" style="279" customWidth="1"/>
    <col min="10765" max="10765" width="5.875" style="279" customWidth="1"/>
    <col min="10766" max="10766" width="6.375" style="279" customWidth="1"/>
    <col min="10767" max="10767" width="0.75" style="279" customWidth="1"/>
    <col min="10768" max="11008" width="9" style="279"/>
    <col min="11009" max="11009" width="1.625" style="279" customWidth="1"/>
    <col min="11010" max="11010" width="5.125" style="279" customWidth="1"/>
    <col min="11011" max="11011" width="8" style="279" customWidth="1"/>
    <col min="11012" max="11012" width="9.25" style="279" customWidth="1"/>
    <col min="11013" max="11013" width="15.625" style="279" customWidth="1"/>
    <col min="11014" max="11014" width="0" style="279" hidden="1" customWidth="1"/>
    <col min="11015" max="11017" width="5.5" style="279" customWidth="1"/>
    <col min="11018" max="11018" width="9.25" style="279" customWidth="1"/>
    <col min="11019" max="11020" width="8" style="279" customWidth="1"/>
    <col min="11021" max="11021" width="5.875" style="279" customWidth="1"/>
    <col min="11022" max="11022" width="6.375" style="279" customWidth="1"/>
    <col min="11023" max="11023" width="0.75" style="279" customWidth="1"/>
    <col min="11024" max="11264" width="9" style="279"/>
    <col min="11265" max="11265" width="1.625" style="279" customWidth="1"/>
    <col min="11266" max="11266" width="5.125" style="279" customWidth="1"/>
    <col min="11267" max="11267" width="8" style="279" customWidth="1"/>
    <col min="11268" max="11268" width="9.25" style="279" customWidth="1"/>
    <col min="11269" max="11269" width="15.625" style="279" customWidth="1"/>
    <col min="11270" max="11270" width="0" style="279" hidden="1" customWidth="1"/>
    <col min="11271" max="11273" width="5.5" style="279" customWidth="1"/>
    <col min="11274" max="11274" width="9.25" style="279" customWidth="1"/>
    <col min="11275" max="11276" width="8" style="279" customWidth="1"/>
    <col min="11277" max="11277" width="5.875" style="279" customWidth="1"/>
    <col min="11278" max="11278" width="6.375" style="279" customWidth="1"/>
    <col min="11279" max="11279" width="0.75" style="279" customWidth="1"/>
    <col min="11280" max="11520" width="9" style="279"/>
    <col min="11521" max="11521" width="1.625" style="279" customWidth="1"/>
    <col min="11522" max="11522" width="5.125" style="279" customWidth="1"/>
    <col min="11523" max="11523" width="8" style="279" customWidth="1"/>
    <col min="11524" max="11524" width="9.25" style="279" customWidth="1"/>
    <col min="11525" max="11525" width="15.625" style="279" customWidth="1"/>
    <col min="11526" max="11526" width="0" style="279" hidden="1" customWidth="1"/>
    <col min="11527" max="11529" width="5.5" style="279" customWidth="1"/>
    <col min="11530" max="11530" width="9.25" style="279" customWidth="1"/>
    <col min="11531" max="11532" width="8" style="279" customWidth="1"/>
    <col min="11533" max="11533" width="5.875" style="279" customWidth="1"/>
    <col min="11534" max="11534" width="6.375" style="279" customWidth="1"/>
    <col min="11535" max="11535" width="0.75" style="279" customWidth="1"/>
    <col min="11536" max="11776" width="9" style="279"/>
    <col min="11777" max="11777" width="1.625" style="279" customWidth="1"/>
    <col min="11778" max="11778" width="5.125" style="279" customWidth="1"/>
    <col min="11779" max="11779" width="8" style="279" customWidth="1"/>
    <col min="11780" max="11780" width="9.25" style="279" customWidth="1"/>
    <col min="11781" max="11781" width="15.625" style="279" customWidth="1"/>
    <col min="11782" max="11782" width="0" style="279" hidden="1" customWidth="1"/>
    <col min="11783" max="11785" width="5.5" style="279" customWidth="1"/>
    <col min="11786" max="11786" width="9.25" style="279" customWidth="1"/>
    <col min="11787" max="11788" width="8" style="279" customWidth="1"/>
    <col min="11789" max="11789" width="5.875" style="279" customWidth="1"/>
    <col min="11790" max="11790" width="6.375" style="279" customWidth="1"/>
    <col min="11791" max="11791" width="0.75" style="279" customWidth="1"/>
    <col min="11792" max="12032" width="9" style="279"/>
    <col min="12033" max="12033" width="1.625" style="279" customWidth="1"/>
    <col min="12034" max="12034" width="5.125" style="279" customWidth="1"/>
    <col min="12035" max="12035" width="8" style="279" customWidth="1"/>
    <col min="12036" max="12036" width="9.25" style="279" customWidth="1"/>
    <col min="12037" max="12037" width="15.625" style="279" customWidth="1"/>
    <col min="12038" max="12038" width="0" style="279" hidden="1" customWidth="1"/>
    <col min="12039" max="12041" width="5.5" style="279" customWidth="1"/>
    <col min="12042" max="12042" width="9.25" style="279" customWidth="1"/>
    <col min="12043" max="12044" width="8" style="279" customWidth="1"/>
    <col min="12045" max="12045" width="5.875" style="279" customWidth="1"/>
    <col min="12046" max="12046" width="6.375" style="279" customWidth="1"/>
    <col min="12047" max="12047" width="0.75" style="279" customWidth="1"/>
    <col min="12048" max="12288" width="9" style="279"/>
    <col min="12289" max="12289" width="1.625" style="279" customWidth="1"/>
    <col min="12290" max="12290" width="5.125" style="279" customWidth="1"/>
    <col min="12291" max="12291" width="8" style="279" customWidth="1"/>
    <col min="12292" max="12292" width="9.25" style="279" customWidth="1"/>
    <col min="12293" max="12293" width="15.625" style="279" customWidth="1"/>
    <col min="12294" max="12294" width="0" style="279" hidden="1" customWidth="1"/>
    <col min="12295" max="12297" width="5.5" style="279" customWidth="1"/>
    <col min="12298" max="12298" width="9.25" style="279" customWidth="1"/>
    <col min="12299" max="12300" width="8" style="279" customWidth="1"/>
    <col min="12301" max="12301" width="5.875" style="279" customWidth="1"/>
    <col min="12302" max="12302" width="6.375" style="279" customWidth="1"/>
    <col min="12303" max="12303" width="0.75" style="279" customWidth="1"/>
    <col min="12304" max="12544" width="9" style="279"/>
    <col min="12545" max="12545" width="1.625" style="279" customWidth="1"/>
    <col min="12546" max="12546" width="5.125" style="279" customWidth="1"/>
    <col min="12547" max="12547" width="8" style="279" customWidth="1"/>
    <col min="12548" max="12548" width="9.25" style="279" customWidth="1"/>
    <col min="12549" max="12549" width="15.625" style="279" customWidth="1"/>
    <col min="12550" max="12550" width="0" style="279" hidden="1" customWidth="1"/>
    <col min="12551" max="12553" width="5.5" style="279" customWidth="1"/>
    <col min="12554" max="12554" width="9.25" style="279" customWidth="1"/>
    <col min="12555" max="12556" width="8" style="279" customWidth="1"/>
    <col min="12557" max="12557" width="5.875" style="279" customWidth="1"/>
    <col min="12558" max="12558" width="6.375" style="279" customWidth="1"/>
    <col min="12559" max="12559" width="0.75" style="279" customWidth="1"/>
    <col min="12560" max="12800" width="9" style="279"/>
    <col min="12801" max="12801" width="1.625" style="279" customWidth="1"/>
    <col min="12802" max="12802" width="5.125" style="279" customWidth="1"/>
    <col min="12803" max="12803" width="8" style="279" customWidth="1"/>
    <col min="12804" max="12804" width="9.25" style="279" customWidth="1"/>
    <col min="12805" max="12805" width="15.625" style="279" customWidth="1"/>
    <col min="12806" max="12806" width="0" style="279" hidden="1" customWidth="1"/>
    <col min="12807" max="12809" width="5.5" style="279" customWidth="1"/>
    <col min="12810" max="12810" width="9.25" style="279" customWidth="1"/>
    <col min="12811" max="12812" width="8" style="279" customWidth="1"/>
    <col min="12813" max="12813" width="5.875" style="279" customWidth="1"/>
    <col min="12814" max="12814" width="6.375" style="279" customWidth="1"/>
    <col min="12815" max="12815" width="0.75" style="279" customWidth="1"/>
    <col min="12816" max="13056" width="9" style="279"/>
    <col min="13057" max="13057" width="1.625" style="279" customWidth="1"/>
    <col min="13058" max="13058" width="5.125" style="279" customWidth="1"/>
    <col min="13059" max="13059" width="8" style="279" customWidth="1"/>
    <col min="13060" max="13060" width="9.25" style="279" customWidth="1"/>
    <col min="13061" max="13061" width="15.625" style="279" customWidth="1"/>
    <col min="13062" max="13062" width="0" style="279" hidden="1" customWidth="1"/>
    <col min="13063" max="13065" width="5.5" style="279" customWidth="1"/>
    <col min="13066" max="13066" width="9.25" style="279" customWidth="1"/>
    <col min="13067" max="13068" width="8" style="279" customWidth="1"/>
    <col min="13069" max="13069" width="5.875" style="279" customWidth="1"/>
    <col min="13070" max="13070" width="6.375" style="279" customWidth="1"/>
    <col min="13071" max="13071" width="0.75" style="279" customWidth="1"/>
    <col min="13072" max="13312" width="9" style="279"/>
    <col min="13313" max="13313" width="1.625" style="279" customWidth="1"/>
    <col min="13314" max="13314" width="5.125" style="279" customWidth="1"/>
    <col min="13315" max="13315" width="8" style="279" customWidth="1"/>
    <col min="13316" max="13316" width="9.25" style="279" customWidth="1"/>
    <col min="13317" max="13317" width="15.625" style="279" customWidth="1"/>
    <col min="13318" max="13318" width="0" style="279" hidden="1" customWidth="1"/>
    <col min="13319" max="13321" width="5.5" style="279" customWidth="1"/>
    <col min="13322" max="13322" width="9.25" style="279" customWidth="1"/>
    <col min="13323" max="13324" width="8" style="279" customWidth="1"/>
    <col min="13325" max="13325" width="5.875" style="279" customWidth="1"/>
    <col min="13326" max="13326" width="6.375" style="279" customWidth="1"/>
    <col min="13327" max="13327" width="0.75" style="279" customWidth="1"/>
    <col min="13328" max="13568" width="9" style="279"/>
    <col min="13569" max="13569" width="1.625" style="279" customWidth="1"/>
    <col min="13570" max="13570" width="5.125" style="279" customWidth="1"/>
    <col min="13571" max="13571" width="8" style="279" customWidth="1"/>
    <col min="13572" max="13572" width="9.25" style="279" customWidth="1"/>
    <col min="13573" max="13573" width="15.625" style="279" customWidth="1"/>
    <col min="13574" max="13574" width="0" style="279" hidden="1" customWidth="1"/>
    <col min="13575" max="13577" width="5.5" style="279" customWidth="1"/>
    <col min="13578" max="13578" width="9.25" style="279" customWidth="1"/>
    <col min="13579" max="13580" width="8" style="279" customWidth="1"/>
    <col min="13581" max="13581" width="5.875" style="279" customWidth="1"/>
    <col min="13582" max="13582" width="6.375" style="279" customWidth="1"/>
    <col min="13583" max="13583" width="0.75" style="279" customWidth="1"/>
    <col min="13584" max="13824" width="9" style="279"/>
    <col min="13825" max="13825" width="1.625" style="279" customWidth="1"/>
    <col min="13826" max="13826" width="5.125" style="279" customWidth="1"/>
    <col min="13827" max="13827" width="8" style="279" customWidth="1"/>
    <col min="13828" max="13828" width="9.25" style="279" customWidth="1"/>
    <col min="13829" max="13829" width="15.625" style="279" customWidth="1"/>
    <col min="13830" max="13830" width="0" style="279" hidden="1" customWidth="1"/>
    <col min="13831" max="13833" width="5.5" style="279" customWidth="1"/>
    <col min="13834" max="13834" width="9.25" style="279" customWidth="1"/>
    <col min="13835" max="13836" width="8" style="279" customWidth="1"/>
    <col min="13837" max="13837" width="5.875" style="279" customWidth="1"/>
    <col min="13838" max="13838" width="6.375" style="279" customWidth="1"/>
    <col min="13839" max="13839" width="0.75" style="279" customWidth="1"/>
    <col min="13840" max="14080" width="9" style="279"/>
    <col min="14081" max="14081" width="1.625" style="279" customWidth="1"/>
    <col min="14082" max="14082" width="5.125" style="279" customWidth="1"/>
    <col min="14083" max="14083" width="8" style="279" customWidth="1"/>
    <col min="14084" max="14084" width="9.25" style="279" customWidth="1"/>
    <col min="14085" max="14085" width="15.625" style="279" customWidth="1"/>
    <col min="14086" max="14086" width="0" style="279" hidden="1" customWidth="1"/>
    <col min="14087" max="14089" width="5.5" style="279" customWidth="1"/>
    <col min="14090" max="14090" width="9.25" style="279" customWidth="1"/>
    <col min="14091" max="14092" width="8" style="279" customWidth="1"/>
    <col min="14093" max="14093" width="5.875" style="279" customWidth="1"/>
    <col min="14094" max="14094" width="6.375" style="279" customWidth="1"/>
    <col min="14095" max="14095" width="0.75" style="279" customWidth="1"/>
    <col min="14096" max="14336" width="9" style="279"/>
    <col min="14337" max="14337" width="1.625" style="279" customWidth="1"/>
    <col min="14338" max="14338" width="5.125" style="279" customWidth="1"/>
    <col min="14339" max="14339" width="8" style="279" customWidth="1"/>
    <col min="14340" max="14340" width="9.25" style="279" customWidth="1"/>
    <col min="14341" max="14341" width="15.625" style="279" customWidth="1"/>
    <col min="14342" max="14342" width="0" style="279" hidden="1" customWidth="1"/>
    <col min="14343" max="14345" width="5.5" style="279" customWidth="1"/>
    <col min="14346" max="14346" width="9.25" style="279" customWidth="1"/>
    <col min="14347" max="14348" width="8" style="279" customWidth="1"/>
    <col min="14349" max="14349" width="5.875" style="279" customWidth="1"/>
    <col min="14350" max="14350" width="6.375" style="279" customWidth="1"/>
    <col min="14351" max="14351" width="0.75" style="279" customWidth="1"/>
    <col min="14352" max="14592" width="9" style="279"/>
    <col min="14593" max="14593" width="1.625" style="279" customWidth="1"/>
    <col min="14594" max="14594" width="5.125" style="279" customWidth="1"/>
    <col min="14595" max="14595" width="8" style="279" customWidth="1"/>
    <col min="14596" max="14596" width="9.25" style="279" customWidth="1"/>
    <col min="14597" max="14597" width="15.625" style="279" customWidth="1"/>
    <col min="14598" max="14598" width="0" style="279" hidden="1" customWidth="1"/>
    <col min="14599" max="14601" width="5.5" style="279" customWidth="1"/>
    <col min="14602" max="14602" width="9.25" style="279" customWidth="1"/>
    <col min="14603" max="14604" width="8" style="279" customWidth="1"/>
    <col min="14605" max="14605" width="5.875" style="279" customWidth="1"/>
    <col min="14606" max="14606" width="6.375" style="279" customWidth="1"/>
    <col min="14607" max="14607" width="0.75" style="279" customWidth="1"/>
    <col min="14608" max="14848" width="9" style="279"/>
    <col min="14849" max="14849" width="1.625" style="279" customWidth="1"/>
    <col min="14850" max="14850" width="5.125" style="279" customWidth="1"/>
    <col min="14851" max="14851" width="8" style="279" customWidth="1"/>
    <col min="14852" max="14852" width="9.25" style="279" customWidth="1"/>
    <col min="14853" max="14853" width="15.625" style="279" customWidth="1"/>
    <col min="14854" max="14854" width="0" style="279" hidden="1" customWidth="1"/>
    <col min="14855" max="14857" width="5.5" style="279" customWidth="1"/>
    <col min="14858" max="14858" width="9.25" style="279" customWidth="1"/>
    <col min="14859" max="14860" width="8" style="279" customWidth="1"/>
    <col min="14861" max="14861" width="5.875" style="279" customWidth="1"/>
    <col min="14862" max="14862" width="6.375" style="279" customWidth="1"/>
    <col min="14863" max="14863" width="0.75" style="279" customWidth="1"/>
    <col min="14864" max="15104" width="9" style="279"/>
    <col min="15105" max="15105" width="1.625" style="279" customWidth="1"/>
    <col min="15106" max="15106" width="5.125" style="279" customWidth="1"/>
    <col min="15107" max="15107" width="8" style="279" customWidth="1"/>
    <col min="15108" max="15108" width="9.25" style="279" customWidth="1"/>
    <col min="15109" max="15109" width="15.625" style="279" customWidth="1"/>
    <col min="15110" max="15110" width="0" style="279" hidden="1" customWidth="1"/>
    <col min="15111" max="15113" width="5.5" style="279" customWidth="1"/>
    <col min="15114" max="15114" width="9.25" style="279" customWidth="1"/>
    <col min="15115" max="15116" width="8" style="279" customWidth="1"/>
    <col min="15117" max="15117" width="5.875" style="279" customWidth="1"/>
    <col min="15118" max="15118" width="6.375" style="279" customWidth="1"/>
    <col min="15119" max="15119" width="0.75" style="279" customWidth="1"/>
    <col min="15120" max="15360" width="9" style="279"/>
    <col min="15361" max="15361" width="1.625" style="279" customWidth="1"/>
    <col min="15362" max="15362" width="5.125" style="279" customWidth="1"/>
    <col min="15363" max="15363" width="8" style="279" customWidth="1"/>
    <col min="15364" max="15364" width="9.25" style="279" customWidth="1"/>
    <col min="15365" max="15365" width="15.625" style="279" customWidth="1"/>
    <col min="15366" max="15366" width="0" style="279" hidden="1" customWidth="1"/>
    <col min="15367" max="15369" width="5.5" style="279" customWidth="1"/>
    <col min="15370" max="15370" width="9.25" style="279" customWidth="1"/>
    <col min="15371" max="15372" width="8" style="279" customWidth="1"/>
    <col min="15373" max="15373" width="5.875" style="279" customWidth="1"/>
    <col min="15374" max="15374" width="6.375" style="279" customWidth="1"/>
    <col min="15375" max="15375" width="0.75" style="279" customWidth="1"/>
    <col min="15376" max="15616" width="9" style="279"/>
    <col min="15617" max="15617" width="1.625" style="279" customWidth="1"/>
    <col min="15618" max="15618" width="5.125" style="279" customWidth="1"/>
    <col min="15619" max="15619" width="8" style="279" customWidth="1"/>
    <col min="15620" max="15620" width="9.25" style="279" customWidth="1"/>
    <col min="15621" max="15621" width="15.625" style="279" customWidth="1"/>
    <col min="15622" max="15622" width="0" style="279" hidden="1" customWidth="1"/>
    <col min="15623" max="15625" width="5.5" style="279" customWidth="1"/>
    <col min="15626" max="15626" width="9.25" style="279" customWidth="1"/>
    <col min="15627" max="15628" width="8" style="279" customWidth="1"/>
    <col min="15629" max="15629" width="5.875" style="279" customWidth="1"/>
    <col min="15630" max="15630" width="6.375" style="279" customWidth="1"/>
    <col min="15631" max="15631" width="0.75" style="279" customWidth="1"/>
    <col min="15632" max="15872" width="9" style="279"/>
    <col min="15873" max="15873" width="1.625" style="279" customWidth="1"/>
    <col min="15874" max="15874" width="5.125" style="279" customWidth="1"/>
    <col min="15875" max="15875" width="8" style="279" customWidth="1"/>
    <col min="15876" max="15876" width="9.25" style="279" customWidth="1"/>
    <col min="15877" max="15877" width="15.625" style="279" customWidth="1"/>
    <col min="15878" max="15878" width="0" style="279" hidden="1" customWidth="1"/>
    <col min="15879" max="15881" width="5.5" style="279" customWidth="1"/>
    <col min="15882" max="15882" width="9.25" style="279" customWidth="1"/>
    <col min="15883" max="15884" width="8" style="279" customWidth="1"/>
    <col min="15885" max="15885" width="5.875" style="279" customWidth="1"/>
    <col min="15886" max="15886" width="6.375" style="279" customWidth="1"/>
    <col min="15887" max="15887" width="0.75" style="279" customWidth="1"/>
    <col min="15888" max="16128" width="9" style="279"/>
    <col min="16129" max="16129" width="1.625" style="279" customWidth="1"/>
    <col min="16130" max="16130" width="5.125" style="279" customWidth="1"/>
    <col min="16131" max="16131" width="8" style="279" customWidth="1"/>
    <col min="16132" max="16132" width="9.25" style="279" customWidth="1"/>
    <col min="16133" max="16133" width="15.625" style="279" customWidth="1"/>
    <col min="16134" max="16134" width="0" style="279" hidden="1" customWidth="1"/>
    <col min="16135" max="16137" width="5.5" style="279" customWidth="1"/>
    <col min="16138" max="16138" width="9.25" style="279" customWidth="1"/>
    <col min="16139" max="16140" width="8" style="279" customWidth="1"/>
    <col min="16141" max="16141" width="5.875" style="279" customWidth="1"/>
    <col min="16142" max="16142" width="6.375" style="279" customWidth="1"/>
    <col min="16143" max="16143" width="0.75" style="279" customWidth="1"/>
    <col min="16144" max="16384" width="9" style="279"/>
  </cols>
  <sheetData>
    <row r="1" spans="2:15" ht="24.75" customHeight="1">
      <c r="B1" s="277" t="s">
        <v>360</v>
      </c>
      <c r="G1" s="279"/>
      <c r="I1" s="280" t="s">
        <v>361</v>
      </c>
      <c r="J1" s="867" t="str">
        <f>"" &amp; 本社名称</f>
        <v/>
      </c>
      <c r="K1" s="867"/>
      <c r="L1" s="867"/>
      <c r="M1" s="867"/>
      <c r="N1" s="867"/>
    </row>
    <row r="2" spans="2:15" ht="15" customHeight="1">
      <c r="B2" s="281" t="s">
        <v>362</v>
      </c>
      <c r="C2" s="282" t="s">
        <v>363</v>
      </c>
      <c r="D2" s="282" t="s">
        <v>364</v>
      </c>
      <c r="E2" s="283" t="s">
        <v>365</v>
      </c>
      <c r="F2" s="284" t="s">
        <v>366</v>
      </c>
      <c r="G2" s="285" t="s">
        <v>367</v>
      </c>
      <c r="H2" s="286" t="s">
        <v>368</v>
      </c>
      <c r="I2" s="287" t="s">
        <v>369</v>
      </c>
      <c r="O2" s="288"/>
    </row>
    <row r="3" spans="2:15" ht="12" customHeight="1">
      <c r="B3" s="289">
        <v>1001</v>
      </c>
      <c r="C3" s="883" t="s">
        <v>370</v>
      </c>
      <c r="D3" s="884"/>
      <c r="E3" s="290"/>
      <c r="F3" s="291"/>
      <c r="G3" s="384" t="str">
        <f>IF(測量士_全数="", "", 測量士_全数)</f>
        <v/>
      </c>
      <c r="H3" s="385" t="str">
        <f>IF(測量士_内数="", "", 測量士_内数)</f>
        <v/>
      </c>
      <c r="I3" s="287" t="s">
        <v>371</v>
      </c>
      <c r="J3" s="292"/>
      <c r="K3" s="292"/>
      <c r="L3" s="292"/>
      <c r="M3" s="292"/>
      <c r="N3" s="292"/>
    </row>
    <row r="4" spans="2:15" ht="12" customHeight="1">
      <c r="B4" s="293">
        <v>1002</v>
      </c>
      <c r="C4" s="876" t="s">
        <v>372</v>
      </c>
      <c r="D4" s="877"/>
      <c r="E4" s="294"/>
      <c r="F4" s="295"/>
      <c r="G4" s="386" t="str">
        <f>IF(測量補_全数="", "", 測量補_全数)</f>
        <v/>
      </c>
      <c r="H4" s="387" t="str">
        <f>IF(測量補_内数="", "", 測量補_内数)</f>
        <v/>
      </c>
      <c r="I4" s="296" t="s">
        <v>373</v>
      </c>
      <c r="J4" s="292"/>
      <c r="K4" s="292"/>
      <c r="L4" s="292"/>
      <c r="M4" s="292"/>
      <c r="N4" s="292"/>
    </row>
    <row r="5" spans="2:15" ht="12" customHeight="1">
      <c r="B5" s="289">
        <v>2001</v>
      </c>
      <c r="C5" s="883" t="s">
        <v>374</v>
      </c>
      <c r="D5" s="884"/>
      <c r="E5" s="290"/>
      <c r="F5" s="291"/>
      <c r="G5" s="384" t="str">
        <f>IF(一建士_全数="", "", 一建士_全数)</f>
        <v/>
      </c>
      <c r="H5" s="385" t="str">
        <f>IF(一建士_内数="", "", 一建士_内数)</f>
        <v/>
      </c>
      <c r="I5" s="296"/>
      <c r="J5" s="292"/>
      <c r="K5" s="292"/>
      <c r="L5" s="292"/>
      <c r="M5" s="292"/>
      <c r="N5" s="292"/>
    </row>
    <row r="6" spans="2:15" ht="12" customHeight="1">
      <c r="B6" s="297">
        <v>2002</v>
      </c>
      <c r="C6" s="874" t="s">
        <v>375</v>
      </c>
      <c r="D6" s="875"/>
      <c r="E6" s="298"/>
      <c r="F6" s="299"/>
      <c r="G6" s="388" t="str">
        <f>IF(二建士_全数="", "", 二建士_全数)</f>
        <v/>
      </c>
      <c r="H6" s="389" t="str">
        <f>IF(二建士_内数="", "", 二建士_内数)</f>
        <v/>
      </c>
      <c r="I6" s="296"/>
      <c r="J6" s="292"/>
      <c r="K6" s="292"/>
      <c r="L6" s="292"/>
      <c r="M6" s="292"/>
      <c r="N6" s="292"/>
    </row>
    <row r="7" spans="2:15" ht="12" customHeight="1">
      <c r="B7" s="297">
        <v>2003</v>
      </c>
      <c r="C7" s="874" t="s">
        <v>376</v>
      </c>
      <c r="D7" s="875"/>
      <c r="E7" s="298"/>
      <c r="F7" s="299"/>
      <c r="G7" s="388" t="str">
        <f>IF(建設士_全数="", "", 建設士_全数)</f>
        <v/>
      </c>
      <c r="H7" s="389" t="str">
        <f>IF(建設士_内数="", "", 建設士_内数)</f>
        <v/>
      </c>
      <c r="I7" s="300"/>
      <c r="J7" s="301"/>
      <c r="K7" s="301"/>
      <c r="L7" s="301"/>
      <c r="M7" s="301"/>
      <c r="N7" s="301"/>
    </row>
    <row r="8" spans="2:15" ht="12" customHeight="1">
      <c r="B8" s="293">
        <v>2004</v>
      </c>
      <c r="C8" s="910" t="s">
        <v>377</v>
      </c>
      <c r="D8" s="911"/>
      <c r="E8" s="302"/>
      <c r="F8" s="295"/>
      <c r="G8" s="386" t="str">
        <f>IF(建積者_全数="", "", 建積者_全数)</f>
        <v/>
      </c>
      <c r="H8" s="390" t="str">
        <f>IF(建積者_内数="", "", 建積者_内数)</f>
        <v/>
      </c>
      <c r="I8" s="285" t="s">
        <v>362</v>
      </c>
      <c r="J8" s="303" t="s">
        <v>364</v>
      </c>
      <c r="K8" s="912" t="s">
        <v>365</v>
      </c>
      <c r="L8" s="913"/>
      <c r="M8" s="304" t="s">
        <v>367</v>
      </c>
      <c r="N8" s="305" t="s">
        <v>368</v>
      </c>
    </row>
    <row r="9" spans="2:15" ht="12" customHeight="1">
      <c r="B9" s="289">
        <v>3001</v>
      </c>
      <c r="C9" s="306"/>
      <c r="D9" s="304"/>
      <c r="E9" s="307" t="s">
        <v>378</v>
      </c>
      <c r="F9" s="308" t="s">
        <v>378</v>
      </c>
      <c r="G9" s="391" t="str">
        <f>IF(技_河川_全数="", "", 技_河川_全数)</f>
        <v/>
      </c>
      <c r="H9" s="392" t="str">
        <f>IF(技_河川_内数="", "", 技_河川_内数)</f>
        <v/>
      </c>
      <c r="I9" s="289">
        <v>3101</v>
      </c>
      <c r="J9" s="304"/>
      <c r="K9" s="900" t="s">
        <v>378</v>
      </c>
      <c r="L9" s="914"/>
      <c r="M9" s="407" t="str">
        <f>IF(総_河川_全数="", "", 総_河川_全数)</f>
        <v/>
      </c>
      <c r="N9" s="392" t="str">
        <f>IF(総_河川_内数="", "", 総_河川_内数)</f>
        <v/>
      </c>
    </row>
    <row r="10" spans="2:15" ht="12" customHeight="1">
      <c r="B10" s="297">
        <v>3002</v>
      </c>
      <c r="C10" s="309"/>
      <c r="D10" s="310"/>
      <c r="E10" s="311" t="s">
        <v>154</v>
      </c>
      <c r="F10" s="312" t="s">
        <v>154</v>
      </c>
      <c r="G10" s="393" t="str">
        <f>IF(技_港空_全数="", "", 技_港空_全数)</f>
        <v/>
      </c>
      <c r="H10" s="394" t="str">
        <f>IF(技_港空_内数="", "", 技_港空_内数)</f>
        <v/>
      </c>
      <c r="I10" s="297">
        <v>3102</v>
      </c>
      <c r="J10" s="310"/>
      <c r="K10" s="889" t="s">
        <v>154</v>
      </c>
      <c r="L10" s="904"/>
      <c r="M10" s="408" t="str">
        <f>IF(総_港空_全数="", "", 総_港空_全数)</f>
        <v/>
      </c>
      <c r="N10" s="394" t="str">
        <f>IF(総_港空_内数="", "", 総_港空_内数)</f>
        <v/>
      </c>
    </row>
    <row r="11" spans="2:15" ht="12" customHeight="1">
      <c r="B11" s="297">
        <v>3003</v>
      </c>
      <c r="C11" s="309"/>
      <c r="D11" s="310" t="s">
        <v>379</v>
      </c>
      <c r="E11" s="311" t="s">
        <v>107</v>
      </c>
      <c r="F11" s="312" t="s">
        <v>107</v>
      </c>
      <c r="G11" s="393" t="str">
        <f>IF(技_電土_全数="", "", 技_電土_全数)</f>
        <v/>
      </c>
      <c r="H11" s="394" t="str">
        <f>IF(技_電土_内数="", "", 技_電土_内数)</f>
        <v/>
      </c>
      <c r="I11" s="297">
        <v>3103</v>
      </c>
      <c r="J11" s="310"/>
      <c r="K11" s="889" t="s">
        <v>107</v>
      </c>
      <c r="L11" s="904"/>
      <c r="M11" s="408" t="str">
        <f>IF(総_電土_全数="", "", 総_電土_全数)</f>
        <v/>
      </c>
      <c r="N11" s="394" t="str">
        <f>IF(総_電土_内数="", "", 総_電土_内数)</f>
        <v/>
      </c>
    </row>
    <row r="12" spans="2:15" ht="12" customHeight="1">
      <c r="B12" s="297">
        <v>3004</v>
      </c>
      <c r="C12" s="309"/>
      <c r="D12" s="310"/>
      <c r="E12" s="311" t="s">
        <v>108</v>
      </c>
      <c r="F12" s="312" t="s">
        <v>108</v>
      </c>
      <c r="G12" s="393" t="str">
        <f>IF(技_道路_全数="", "", 技_道路_全数)</f>
        <v/>
      </c>
      <c r="H12" s="394" t="str">
        <f>IF(技_道路_内数="", "", 技_道路_内数)</f>
        <v/>
      </c>
      <c r="I12" s="297">
        <v>3104</v>
      </c>
      <c r="J12" s="310"/>
      <c r="K12" s="889" t="s">
        <v>108</v>
      </c>
      <c r="L12" s="904"/>
      <c r="M12" s="408" t="str">
        <f>IF(総_道路_全数="", "", 総_道路_全数)</f>
        <v/>
      </c>
      <c r="N12" s="394" t="str">
        <f>IF(総_道路_内数="", "", 総_道路_内数)</f>
        <v/>
      </c>
    </row>
    <row r="13" spans="2:15" ht="12" customHeight="1">
      <c r="B13" s="297">
        <v>3005</v>
      </c>
      <c r="C13" s="309"/>
      <c r="D13" s="313"/>
      <c r="E13" s="311" t="s">
        <v>109</v>
      </c>
      <c r="F13" s="312" t="s">
        <v>109</v>
      </c>
      <c r="G13" s="393" t="str">
        <f>IF(技_鉄道_全数="", "", 技_鉄道_全数)</f>
        <v/>
      </c>
      <c r="H13" s="394" t="str">
        <f>IF(技_鉄道_内数="", "", 技_鉄道_内数)</f>
        <v/>
      </c>
      <c r="I13" s="297">
        <v>3105</v>
      </c>
      <c r="J13" s="310"/>
      <c r="K13" s="889" t="s">
        <v>109</v>
      </c>
      <c r="L13" s="904"/>
      <c r="M13" s="408" t="str">
        <f>IF(総_鉄道_全数="", "", 総_鉄道_全数)</f>
        <v/>
      </c>
      <c r="N13" s="394" t="str">
        <f>IF(総_鉄道_内数="", "", 総_鉄道_内数)</f>
        <v/>
      </c>
    </row>
    <row r="14" spans="2:15" ht="12" customHeight="1">
      <c r="B14" s="297">
        <v>3006</v>
      </c>
      <c r="C14" s="309"/>
      <c r="D14" s="314" t="s">
        <v>380</v>
      </c>
      <c r="E14" s="311" t="s">
        <v>307</v>
      </c>
      <c r="F14" s="312" t="s">
        <v>307</v>
      </c>
      <c r="G14" s="393" t="str">
        <f>IF(技_上工水_全数="", "", 技_上工水_全数)</f>
        <v/>
      </c>
      <c r="H14" s="394" t="str">
        <f>IF(技_上工水_内数="", "", 技_上工水_内数)</f>
        <v/>
      </c>
      <c r="I14" s="297">
        <v>3106</v>
      </c>
      <c r="J14" s="310"/>
      <c r="K14" s="889" t="s">
        <v>307</v>
      </c>
      <c r="L14" s="904"/>
      <c r="M14" s="408" t="str">
        <f>IF(総_上工水_全数="", "", 総_上工水_全数)</f>
        <v/>
      </c>
      <c r="N14" s="394" t="str">
        <f>IF(総_上工水_内数="", "", 総_上工水_内数)</f>
        <v/>
      </c>
    </row>
    <row r="15" spans="2:15" ht="12" customHeight="1">
      <c r="B15" s="297">
        <v>3007</v>
      </c>
      <c r="C15" s="309"/>
      <c r="D15" s="314" t="s">
        <v>380</v>
      </c>
      <c r="E15" s="311" t="s">
        <v>110</v>
      </c>
      <c r="F15" s="312" t="s">
        <v>110</v>
      </c>
      <c r="G15" s="393" t="str">
        <f>IF(技_下水道_全数="", "", 技_下水道_全数)</f>
        <v/>
      </c>
      <c r="H15" s="394" t="str">
        <f>IF(技_下水道_内数="", "", 技_下水道_内数)</f>
        <v/>
      </c>
      <c r="I15" s="297">
        <v>3107</v>
      </c>
      <c r="J15" s="310"/>
      <c r="K15" s="889" t="s">
        <v>110</v>
      </c>
      <c r="L15" s="904"/>
      <c r="M15" s="408" t="str">
        <f>IF(総_下水道_全数="", "", 総_下水道_全数)</f>
        <v/>
      </c>
      <c r="N15" s="394" t="str">
        <f>IF(総_下水道_内数="", "", 総_下水道_内数)</f>
        <v/>
      </c>
    </row>
    <row r="16" spans="2:15" ht="12" customHeight="1">
      <c r="B16" s="297">
        <v>3008</v>
      </c>
      <c r="C16" s="309"/>
      <c r="D16" s="314" t="s">
        <v>185</v>
      </c>
      <c r="E16" s="311" t="s">
        <v>111</v>
      </c>
      <c r="F16" s="312" t="s">
        <v>111</v>
      </c>
      <c r="G16" s="393" t="str">
        <f>IF(技_農土木_全数="", "", 技_農土木_全数)</f>
        <v/>
      </c>
      <c r="H16" s="394" t="str">
        <f>IF(技_農土木_内数="", "", 技_農土木_内数)</f>
        <v/>
      </c>
      <c r="I16" s="297">
        <v>3108</v>
      </c>
      <c r="J16" s="310"/>
      <c r="K16" s="889" t="s">
        <v>111</v>
      </c>
      <c r="L16" s="904"/>
      <c r="M16" s="408" t="str">
        <f>IF(総_農土木_全数="", "", 総_農土木_全数)</f>
        <v/>
      </c>
      <c r="N16" s="394" t="str">
        <f>IF(総_農土木_内数="", "", 総_農土木_内数)</f>
        <v/>
      </c>
    </row>
    <row r="17" spans="2:14" ht="12" customHeight="1">
      <c r="B17" s="297">
        <v>3009</v>
      </c>
      <c r="C17" s="309"/>
      <c r="D17" s="314" t="s">
        <v>186</v>
      </c>
      <c r="E17" s="311" t="s">
        <v>112</v>
      </c>
      <c r="F17" s="312" t="s">
        <v>112</v>
      </c>
      <c r="G17" s="393" t="str">
        <f>IF(技_森土木_全数="", "", 技_森土木_全数)</f>
        <v/>
      </c>
      <c r="H17" s="394" t="str">
        <f>IF(技_森土木_内数="", "", 技_森土木_内数)</f>
        <v/>
      </c>
      <c r="I17" s="297">
        <v>3109</v>
      </c>
      <c r="J17" s="310"/>
      <c r="K17" s="889" t="s">
        <v>112</v>
      </c>
      <c r="L17" s="904"/>
      <c r="M17" s="408" t="str">
        <f>IF(総_森土木_全数="", "", 総_森土木_全数)</f>
        <v/>
      </c>
      <c r="N17" s="394" t="str">
        <f>IF(総_森土木_内数="", "", 総_森土木_内数)</f>
        <v/>
      </c>
    </row>
    <row r="18" spans="2:14" ht="12" customHeight="1">
      <c r="B18" s="315">
        <v>3010</v>
      </c>
      <c r="C18" s="309" t="s">
        <v>381</v>
      </c>
      <c r="D18" s="316" t="s">
        <v>187</v>
      </c>
      <c r="E18" s="317" t="s">
        <v>113</v>
      </c>
      <c r="F18" s="318" t="s">
        <v>113</v>
      </c>
      <c r="G18" s="395" t="str">
        <f>IF(技_水土木_全数="", "", 技_水土木_全数)</f>
        <v/>
      </c>
      <c r="H18" s="396" t="str">
        <f>IF(技_水土木_内数="", "", 技_水土木_内数)</f>
        <v/>
      </c>
      <c r="I18" s="315">
        <v>3110</v>
      </c>
      <c r="J18" s="310" t="s">
        <v>382</v>
      </c>
      <c r="K18" s="896" t="s">
        <v>113</v>
      </c>
      <c r="L18" s="909"/>
      <c r="M18" s="409" t="str">
        <f>IF(総_水土木_全数="", "", 総_水土木_全数)</f>
        <v/>
      </c>
      <c r="N18" s="396" t="str">
        <f>IF(総_水土木_内数="", "", 総_水土木_内数)</f>
        <v/>
      </c>
    </row>
    <row r="19" spans="2:14" ht="12" customHeight="1">
      <c r="B19" s="319">
        <v>3011</v>
      </c>
      <c r="C19" s="309"/>
      <c r="D19" s="320" t="s">
        <v>208</v>
      </c>
      <c r="E19" s="321" t="s">
        <v>383</v>
      </c>
      <c r="F19" s="322" t="s">
        <v>383</v>
      </c>
      <c r="G19" s="397" t="str">
        <f>IF(技_廃棄物_全数="", "", 技_廃棄物_全数)</f>
        <v/>
      </c>
      <c r="H19" s="398" t="str">
        <f>IF(技_廃棄物_内数="", "", 技_廃棄物_内数)</f>
        <v/>
      </c>
      <c r="I19" s="319">
        <v>3111</v>
      </c>
      <c r="J19" s="310"/>
      <c r="K19" s="902" t="s">
        <v>383</v>
      </c>
      <c r="L19" s="903"/>
      <c r="M19" s="410" t="str">
        <f>IF(総_廃棄物_全数="", "", 総_廃棄物_全数)</f>
        <v/>
      </c>
      <c r="N19" s="398" t="str">
        <f>IF(総_廃棄物_内数="", "", 総_廃棄物_内数)</f>
        <v/>
      </c>
    </row>
    <row r="20" spans="2:14" ht="12" customHeight="1">
      <c r="B20" s="297">
        <v>3012</v>
      </c>
      <c r="C20" s="309"/>
      <c r="D20" s="314" t="s">
        <v>379</v>
      </c>
      <c r="E20" s="311" t="s">
        <v>190</v>
      </c>
      <c r="F20" s="312" t="s">
        <v>190</v>
      </c>
      <c r="G20" s="393" t="str">
        <f>IF(技_都計造_全数="", "", 技_都計造_全数)</f>
        <v/>
      </c>
      <c r="H20" s="394" t="str">
        <f>IF(技_都計造_内数="", "", 技_都計造_内数)</f>
        <v/>
      </c>
      <c r="I20" s="297">
        <v>3112</v>
      </c>
      <c r="J20" s="310"/>
      <c r="K20" s="889" t="s">
        <v>190</v>
      </c>
      <c r="L20" s="904"/>
      <c r="M20" s="408" t="str">
        <f>IF(総_都計造_全数="", "", 総_都計造_全数)</f>
        <v/>
      </c>
      <c r="N20" s="394" t="str">
        <f>IF(総_都計造_内数="", "", 総_都計造_内数)</f>
        <v/>
      </c>
    </row>
    <row r="21" spans="2:14" ht="12" customHeight="1">
      <c r="B21" s="297">
        <v>3013</v>
      </c>
      <c r="C21" s="309"/>
      <c r="D21" s="314" t="s">
        <v>379</v>
      </c>
      <c r="E21" s="311" t="s">
        <v>157</v>
      </c>
      <c r="F21" s="312" t="s">
        <v>157</v>
      </c>
      <c r="G21" s="393" t="str">
        <f>IF(技_都計_全数="", "", 技_都計_全数)</f>
        <v/>
      </c>
      <c r="H21" s="394" t="str">
        <f>IF(技_都計_内数="", "", 技_都計_内数)</f>
        <v/>
      </c>
      <c r="I21" s="297">
        <v>3113</v>
      </c>
      <c r="J21" s="310"/>
      <c r="K21" s="889" t="s">
        <v>157</v>
      </c>
      <c r="L21" s="904"/>
      <c r="M21" s="408" t="str">
        <f>IF(総_都計_全数="", "", 総_都計_全数)</f>
        <v/>
      </c>
      <c r="N21" s="394" t="str">
        <f>IF(総_都計_内数="", "", 総_都計_内数)</f>
        <v/>
      </c>
    </row>
    <row r="22" spans="2:14" ht="12" customHeight="1">
      <c r="B22" s="297">
        <v>3014</v>
      </c>
      <c r="C22" s="309"/>
      <c r="D22" s="314" t="s">
        <v>384</v>
      </c>
      <c r="E22" s="311" t="s">
        <v>115</v>
      </c>
      <c r="F22" s="312" t="s">
        <v>115</v>
      </c>
      <c r="G22" s="393" t="str">
        <f>IF(技_地質_全数="", "", 技_地質_全数)</f>
        <v/>
      </c>
      <c r="H22" s="394" t="str">
        <f>IF(技_地質_内数="", "", 技_地質_内数)</f>
        <v/>
      </c>
      <c r="I22" s="297">
        <v>3114</v>
      </c>
      <c r="J22" s="310"/>
      <c r="K22" s="889" t="s">
        <v>115</v>
      </c>
      <c r="L22" s="904"/>
      <c r="M22" s="408" t="str">
        <f>IF(総_地質_全数="", "", 総_地質_全数)</f>
        <v/>
      </c>
      <c r="N22" s="394" t="str">
        <f>IF(総_地質_内数="", "", 総_地質_内数)</f>
        <v/>
      </c>
    </row>
    <row r="23" spans="2:14" ht="12" customHeight="1">
      <c r="B23" s="297">
        <v>3015</v>
      </c>
      <c r="C23" s="309"/>
      <c r="D23" s="323"/>
      <c r="E23" s="311" t="s">
        <v>158</v>
      </c>
      <c r="F23" s="312" t="s">
        <v>158</v>
      </c>
      <c r="G23" s="393" t="str">
        <f>IF(技_土基_全数="", "", 技_土基_全数)</f>
        <v/>
      </c>
      <c r="H23" s="394" t="str">
        <f>IF(技_土基_内数="", "", 技_土基_内数)</f>
        <v/>
      </c>
      <c r="I23" s="297">
        <v>3115</v>
      </c>
      <c r="J23" s="310"/>
      <c r="K23" s="889" t="s">
        <v>158</v>
      </c>
      <c r="L23" s="904"/>
      <c r="M23" s="408" t="str">
        <f>IF(総_土基_全数="", "", 総_土基_全数)</f>
        <v/>
      </c>
      <c r="N23" s="394" t="str">
        <f>IF(総_土基_内数="", "", 総_土基_内数)</f>
        <v/>
      </c>
    </row>
    <row r="24" spans="2:14" ht="12" customHeight="1">
      <c r="B24" s="297">
        <v>3016</v>
      </c>
      <c r="C24" s="309"/>
      <c r="D24" s="310"/>
      <c r="E24" s="311" t="s">
        <v>159</v>
      </c>
      <c r="F24" s="312" t="s">
        <v>159</v>
      </c>
      <c r="G24" s="393" t="str">
        <f>IF(技_鋼コ_全数="", "", 技_鋼コ_全数)</f>
        <v/>
      </c>
      <c r="H24" s="394" t="str">
        <f>IF(技_鋼コ_内数="", "", 技_鋼コ_内数)</f>
        <v/>
      </c>
      <c r="I24" s="297">
        <v>3116</v>
      </c>
      <c r="J24" s="310"/>
      <c r="K24" s="889" t="s">
        <v>159</v>
      </c>
      <c r="L24" s="904"/>
      <c r="M24" s="408" t="str">
        <f>IF(総_鋼コ_全数="", "", 総_鋼コ_全数)</f>
        <v/>
      </c>
      <c r="N24" s="394" t="str">
        <f>IF(総_鋼コ_内数="", "", 総_鋼コ_内数)</f>
        <v/>
      </c>
    </row>
    <row r="25" spans="2:14" ht="12" customHeight="1">
      <c r="B25" s="297">
        <v>3017</v>
      </c>
      <c r="C25" s="309"/>
      <c r="D25" s="310" t="s">
        <v>379</v>
      </c>
      <c r="E25" s="311" t="s">
        <v>116</v>
      </c>
      <c r="F25" s="312" t="s">
        <v>116</v>
      </c>
      <c r="G25" s="393" t="str">
        <f>IF(技_トン_全数="", "", 技_トン_全数)</f>
        <v/>
      </c>
      <c r="H25" s="394" t="str">
        <f>IF(技_トン_内数="", "", 技_トン_内数)</f>
        <v/>
      </c>
      <c r="I25" s="297">
        <v>3117</v>
      </c>
      <c r="J25" s="310"/>
      <c r="K25" s="889" t="s">
        <v>116</v>
      </c>
      <c r="L25" s="904"/>
      <c r="M25" s="408" t="str">
        <f>IF(総_トン_全数="", "", 総_トン_全数)</f>
        <v/>
      </c>
      <c r="N25" s="394" t="str">
        <f>IF(総_トン_内数="", "", 総_トン_内数)</f>
        <v/>
      </c>
    </row>
    <row r="26" spans="2:14" ht="12" customHeight="1">
      <c r="B26" s="297">
        <v>3018</v>
      </c>
      <c r="C26" s="309"/>
      <c r="D26" s="310"/>
      <c r="E26" s="311" t="s">
        <v>160</v>
      </c>
      <c r="F26" s="312" t="s">
        <v>160</v>
      </c>
      <c r="G26" s="393" t="str">
        <f>IF(技_施積_全数="", "", 技_施積_全数)</f>
        <v/>
      </c>
      <c r="H26" s="394" t="str">
        <f>IF(技_施積_内数="", "", 技_施積_内数)</f>
        <v/>
      </c>
      <c r="I26" s="297">
        <v>3118</v>
      </c>
      <c r="J26" s="310"/>
      <c r="K26" s="889" t="s">
        <v>160</v>
      </c>
      <c r="L26" s="904"/>
      <c r="M26" s="408" t="str">
        <f>IF(総_施積_全数="", "", 総_施積_全数)</f>
        <v/>
      </c>
      <c r="N26" s="394" t="str">
        <f>IF(総_施積_内数="", "", 総_施積_内数)</f>
        <v/>
      </c>
    </row>
    <row r="27" spans="2:14" ht="12" customHeight="1">
      <c r="B27" s="297">
        <v>3019</v>
      </c>
      <c r="C27" s="309"/>
      <c r="D27" s="313"/>
      <c r="E27" s="311" t="s">
        <v>117</v>
      </c>
      <c r="F27" s="312" t="s">
        <v>117</v>
      </c>
      <c r="G27" s="393" t="str">
        <f>IF(技_建環_全数="", "", 技_建環_全数)</f>
        <v/>
      </c>
      <c r="H27" s="394" t="str">
        <f>IF(技_建環_内数="", "", 技_建環_内数)</f>
        <v/>
      </c>
      <c r="I27" s="297">
        <v>3119</v>
      </c>
      <c r="J27" s="310"/>
      <c r="K27" s="889" t="s">
        <v>117</v>
      </c>
      <c r="L27" s="904"/>
      <c r="M27" s="408" t="str">
        <f>IF(総_建環_全数="", "", 総_建環_全数)</f>
        <v/>
      </c>
      <c r="N27" s="394" t="str">
        <f>IF(総_建環_内数="", "", 総_建環_内数)</f>
        <v/>
      </c>
    </row>
    <row r="28" spans="2:14" ht="12" customHeight="1">
      <c r="B28" s="297">
        <v>3020</v>
      </c>
      <c r="C28" s="309"/>
      <c r="D28" s="314" t="s">
        <v>161</v>
      </c>
      <c r="E28" s="324" t="s">
        <v>161</v>
      </c>
      <c r="F28" s="312" t="s">
        <v>385</v>
      </c>
      <c r="G28" s="393" t="str">
        <f>IF(技_機械_全数="", "", 技_機械_全数)</f>
        <v/>
      </c>
      <c r="H28" s="394" t="str">
        <f>IF(技_機械_内数="", "", 技_機械_内数)</f>
        <v/>
      </c>
      <c r="I28" s="297">
        <v>3120</v>
      </c>
      <c r="J28" s="310"/>
      <c r="K28" s="905" t="s">
        <v>161</v>
      </c>
      <c r="L28" s="906"/>
      <c r="M28" s="408" t="str">
        <f>IF(総_機械_全数="", "", 総_機械_全数)</f>
        <v/>
      </c>
      <c r="N28" s="411" t="str">
        <f>IF(総_機械_内数="", "", 総_機械_内数)</f>
        <v/>
      </c>
    </row>
    <row r="29" spans="2:14" ht="12" customHeight="1">
      <c r="B29" s="297">
        <v>3021</v>
      </c>
      <c r="C29" s="325"/>
      <c r="D29" s="326" t="s">
        <v>162</v>
      </c>
      <c r="E29" s="327" t="s">
        <v>162</v>
      </c>
      <c r="F29" s="328" t="s">
        <v>386</v>
      </c>
      <c r="G29" s="399" t="str">
        <f>IF(技_電電_全数="", "", 技_電電_全数)</f>
        <v/>
      </c>
      <c r="H29" s="400" t="str">
        <f>IF(技_電電_内数="", "", 技_電電_内数)</f>
        <v/>
      </c>
      <c r="I29" s="329">
        <v>3121</v>
      </c>
      <c r="J29" s="330"/>
      <c r="K29" s="907" t="s">
        <v>162</v>
      </c>
      <c r="L29" s="908"/>
      <c r="M29" s="412" t="str">
        <f>IF(総_電電_全数="", "", 総_電電_全数)</f>
        <v/>
      </c>
      <c r="N29" s="413" t="str">
        <f>IF(総_電電_内数="", "", 総_電電_内数)</f>
        <v/>
      </c>
    </row>
    <row r="30" spans="2:14" ht="12" customHeight="1">
      <c r="B30" s="331">
        <v>3201</v>
      </c>
      <c r="C30" s="332"/>
      <c r="D30" s="900" t="s">
        <v>378</v>
      </c>
      <c r="E30" s="901"/>
      <c r="F30" s="333"/>
      <c r="G30" s="391" t="str">
        <f>IF(R_河川_全数="", "", R_河川_全数)</f>
        <v/>
      </c>
      <c r="H30" s="392" t="str">
        <f>IF(R_河川_内数="", "", R_河川_内数)</f>
        <v/>
      </c>
    </row>
    <row r="31" spans="2:14" ht="12" customHeight="1">
      <c r="B31" s="334">
        <v>3202</v>
      </c>
      <c r="C31" s="335"/>
      <c r="D31" s="889" t="s">
        <v>154</v>
      </c>
      <c r="E31" s="890"/>
      <c r="F31" s="336"/>
      <c r="G31" s="393" t="str">
        <f>IF(R_港空_全数="", "", R_港空_全数)</f>
        <v/>
      </c>
      <c r="H31" s="394" t="str">
        <f>IF(R_港空_内数="", "", R_港空_内数)</f>
        <v/>
      </c>
    </row>
    <row r="32" spans="2:14" ht="12" customHeight="1">
      <c r="B32" s="334">
        <v>3203</v>
      </c>
      <c r="C32" s="335"/>
      <c r="D32" s="889" t="s">
        <v>107</v>
      </c>
      <c r="E32" s="890"/>
      <c r="F32" s="336"/>
      <c r="G32" s="393" t="str">
        <f>IF(R_電土_全数="", "", R_電土_全数)</f>
        <v/>
      </c>
      <c r="H32" s="394" t="str">
        <f>IF(R_電土_内数="", "", R_電土_内数)</f>
        <v/>
      </c>
    </row>
    <row r="33" spans="2:14" ht="12" customHeight="1">
      <c r="B33" s="334">
        <v>3204</v>
      </c>
      <c r="C33" s="335"/>
      <c r="D33" s="889" t="s">
        <v>108</v>
      </c>
      <c r="E33" s="890"/>
      <c r="F33" s="336"/>
      <c r="G33" s="393" t="str">
        <f>IF(R_道路_全数="", "", R_道路_全数)</f>
        <v/>
      </c>
      <c r="H33" s="394" t="str">
        <f>IF(R_道路_内数="", "", R_道路_内数)</f>
        <v/>
      </c>
    </row>
    <row r="34" spans="2:14" ht="12" customHeight="1">
      <c r="B34" s="334">
        <v>3205</v>
      </c>
      <c r="C34" s="335"/>
      <c r="D34" s="889" t="s">
        <v>109</v>
      </c>
      <c r="E34" s="890"/>
      <c r="F34" s="336"/>
      <c r="G34" s="393" t="str">
        <f>IF(R_鉄道_全数="", "", R_鉄道_全数)</f>
        <v/>
      </c>
      <c r="H34" s="394" t="str">
        <f>IF(R_鉄道_内数="", "", R_鉄道_内数)</f>
        <v/>
      </c>
    </row>
    <row r="35" spans="2:14" ht="12" customHeight="1">
      <c r="B35" s="334">
        <v>3206</v>
      </c>
      <c r="C35" s="335"/>
      <c r="D35" s="889" t="s">
        <v>307</v>
      </c>
      <c r="E35" s="890"/>
      <c r="F35" s="336"/>
      <c r="G35" s="393" t="str">
        <f>IF(R_上工水_全数="", "", R_上工水_全数)</f>
        <v/>
      </c>
      <c r="H35" s="394" t="str">
        <f>IF(R_上工水_内数="", "", R_上工水_内数)</f>
        <v/>
      </c>
      <c r="J35" s="337"/>
      <c r="K35" s="337"/>
      <c r="L35" s="337"/>
      <c r="M35" s="338"/>
      <c r="N35" s="338"/>
    </row>
    <row r="36" spans="2:14" ht="12" customHeight="1">
      <c r="B36" s="334">
        <v>3207</v>
      </c>
      <c r="C36" s="335"/>
      <c r="D36" s="889" t="s">
        <v>110</v>
      </c>
      <c r="E36" s="890"/>
      <c r="F36" s="336"/>
      <c r="G36" s="393" t="str">
        <f>IF(R_下水道_全数="", "", R_下水道_全数)</f>
        <v/>
      </c>
      <c r="H36" s="394" t="str">
        <f>IF(R_下水道_内数="", "", R_下水道_内数)</f>
        <v/>
      </c>
      <c r="J36" s="337"/>
      <c r="K36" s="337"/>
      <c r="L36" s="337"/>
      <c r="M36" s="338"/>
      <c r="N36" s="338"/>
    </row>
    <row r="37" spans="2:14" ht="12" customHeight="1">
      <c r="B37" s="334">
        <v>3208</v>
      </c>
      <c r="C37" s="335"/>
      <c r="D37" s="889" t="s">
        <v>111</v>
      </c>
      <c r="E37" s="890"/>
      <c r="F37" s="336"/>
      <c r="G37" s="393" t="str">
        <f>IF(R_農土木_全数="", "", R_農土木_全数)</f>
        <v/>
      </c>
      <c r="H37" s="394" t="str">
        <f>IF(R_農土木_内数="", "", R_農土木_内数)</f>
        <v/>
      </c>
      <c r="J37" s="339"/>
      <c r="K37" s="340"/>
      <c r="L37" s="340"/>
      <c r="M37" s="340"/>
      <c r="N37" s="340"/>
    </row>
    <row r="38" spans="2:14" ht="12" customHeight="1">
      <c r="B38" s="334">
        <v>3209</v>
      </c>
      <c r="C38" s="335"/>
      <c r="D38" s="889" t="s">
        <v>112</v>
      </c>
      <c r="E38" s="890"/>
      <c r="F38" s="336"/>
      <c r="G38" s="393" t="str">
        <f>IF(R_森土木_全数="", "", R_森土木_全数)</f>
        <v/>
      </c>
      <c r="H38" s="394" t="str">
        <f>IF(R_森土木_内数="", "", R_森土木_内数)</f>
        <v/>
      </c>
      <c r="J38" s="339"/>
      <c r="K38" s="340"/>
      <c r="L38" s="340"/>
      <c r="M38" s="340"/>
      <c r="N38" s="340"/>
    </row>
    <row r="39" spans="2:14" ht="12" customHeight="1">
      <c r="B39" s="341">
        <v>3210</v>
      </c>
      <c r="C39" s="335" t="s">
        <v>387</v>
      </c>
      <c r="D39" s="896" t="s">
        <v>113</v>
      </c>
      <c r="E39" s="897"/>
      <c r="F39" s="342"/>
      <c r="G39" s="395" t="str">
        <f>IF(R_水土木_全数="", "", R_水土木_全数)</f>
        <v/>
      </c>
      <c r="H39" s="396" t="str">
        <f>IF(R_水土木_内数="", "", R_水土木_内数)</f>
        <v/>
      </c>
      <c r="J39" s="340"/>
      <c r="K39" s="343"/>
      <c r="L39" s="343"/>
      <c r="M39" s="343"/>
      <c r="N39" s="343"/>
    </row>
    <row r="40" spans="2:14" ht="12" customHeight="1">
      <c r="B40" s="344">
        <v>3211</v>
      </c>
      <c r="C40" s="335"/>
      <c r="D40" s="898" t="s">
        <v>156</v>
      </c>
      <c r="E40" s="899"/>
      <c r="F40" s="345"/>
      <c r="G40" s="397" t="str">
        <f>IF(R_廃棄物_全数="", "", R_廃棄物_全数)</f>
        <v/>
      </c>
      <c r="H40" s="398" t="str">
        <f>IF(R_廃棄物_内数="", "", R_廃棄物_内数)</f>
        <v/>
      </c>
      <c r="J40" s="340"/>
      <c r="K40" s="343"/>
      <c r="L40" s="343"/>
      <c r="M40" s="343"/>
      <c r="N40" s="343"/>
    </row>
    <row r="41" spans="2:14" ht="12" customHeight="1">
      <c r="B41" s="334">
        <v>3212</v>
      </c>
      <c r="C41" s="335"/>
      <c r="D41" s="889" t="s">
        <v>190</v>
      </c>
      <c r="E41" s="890"/>
      <c r="F41" s="336"/>
      <c r="G41" s="393" t="str">
        <f>IF(R_都計造_全数="", "", R_都計造_全数)</f>
        <v/>
      </c>
      <c r="H41" s="394" t="str">
        <f>IF(R_都計造_内数="", "", R_都計造_内数)</f>
        <v/>
      </c>
      <c r="J41" s="340"/>
      <c r="K41" s="343"/>
      <c r="L41" s="343"/>
      <c r="M41" s="343"/>
      <c r="N41" s="343"/>
    </row>
    <row r="42" spans="2:14" ht="12" customHeight="1">
      <c r="B42" s="334">
        <v>3213</v>
      </c>
      <c r="C42" s="335"/>
      <c r="D42" s="889" t="s">
        <v>157</v>
      </c>
      <c r="E42" s="890"/>
      <c r="F42" s="336"/>
      <c r="G42" s="393" t="str">
        <f>IF(R_都計_全数="", "", R_都計_全数)</f>
        <v/>
      </c>
      <c r="H42" s="394" t="str">
        <f>IF(R_都計_内数="", "", R_都計_内数)</f>
        <v/>
      </c>
      <c r="J42" s="340"/>
      <c r="K42" s="343"/>
      <c r="L42" s="343"/>
      <c r="M42" s="343"/>
      <c r="N42" s="343"/>
    </row>
    <row r="43" spans="2:14" ht="12" customHeight="1">
      <c r="B43" s="334">
        <v>3214</v>
      </c>
      <c r="C43" s="335"/>
      <c r="D43" s="889" t="s">
        <v>115</v>
      </c>
      <c r="E43" s="890"/>
      <c r="F43" s="336"/>
      <c r="G43" s="393" t="str">
        <f>IF(R_地質_全数="", "", R_地質_全数)</f>
        <v/>
      </c>
      <c r="H43" s="394" t="str">
        <f>IF(R_地質_内数="", "", R_地質_内数)</f>
        <v/>
      </c>
      <c r="J43" s="340"/>
      <c r="K43" s="343"/>
      <c r="L43" s="343"/>
      <c r="M43" s="343"/>
      <c r="N43" s="343"/>
    </row>
    <row r="44" spans="2:14" ht="12" customHeight="1">
      <c r="B44" s="334">
        <v>3215</v>
      </c>
      <c r="C44" s="335"/>
      <c r="D44" s="889" t="s">
        <v>158</v>
      </c>
      <c r="E44" s="890"/>
      <c r="F44" s="336"/>
      <c r="G44" s="393" t="str">
        <f>IF(R_土基_全数="", "", R_土基_全数)</f>
        <v/>
      </c>
      <c r="H44" s="394" t="str">
        <f>IF(R_土基_内数="", "", R_土基_内数)</f>
        <v/>
      </c>
      <c r="J44" s="340"/>
      <c r="K44" s="343"/>
      <c r="L44" s="343"/>
      <c r="M44" s="343"/>
      <c r="N44" s="343"/>
    </row>
    <row r="45" spans="2:14" ht="12" customHeight="1">
      <c r="B45" s="334">
        <v>3216</v>
      </c>
      <c r="C45" s="335"/>
      <c r="D45" s="889" t="s">
        <v>159</v>
      </c>
      <c r="E45" s="890"/>
      <c r="F45" s="336"/>
      <c r="G45" s="393" t="str">
        <f>IF(R_鋼コ_全数="", "", R_鋼コ_全数)</f>
        <v/>
      </c>
      <c r="H45" s="394" t="str">
        <f>IF(R_鋼コ_内数="", "", R_鋼コ_内数)</f>
        <v/>
      </c>
      <c r="J45" s="340"/>
      <c r="K45" s="343"/>
      <c r="L45" s="343"/>
      <c r="M45" s="343"/>
      <c r="N45" s="343"/>
    </row>
    <row r="46" spans="2:14" ht="12" customHeight="1">
      <c r="B46" s="334">
        <v>3217</v>
      </c>
      <c r="C46" s="335"/>
      <c r="D46" s="889" t="s">
        <v>116</v>
      </c>
      <c r="E46" s="890"/>
      <c r="F46" s="336"/>
      <c r="G46" s="393" t="str">
        <f>IF(R_トン_全数="", "", R_トン_全数)</f>
        <v/>
      </c>
      <c r="H46" s="394" t="str">
        <f>IF(R_トン_内数="", "", R_トン_内数)</f>
        <v/>
      </c>
      <c r="J46" s="340"/>
      <c r="K46" s="343"/>
      <c r="L46" s="343"/>
      <c r="M46" s="343"/>
      <c r="N46" s="343"/>
    </row>
    <row r="47" spans="2:14" ht="12" customHeight="1">
      <c r="B47" s="334">
        <v>3218</v>
      </c>
      <c r="C47" s="335"/>
      <c r="D47" s="889" t="s">
        <v>160</v>
      </c>
      <c r="E47" s="890"/>
      <c r="F47" s="336"/>
      <c r="G47" s="393" t="str">
        <f>IF(R_施積_全数="", "", R_施積_全数)</f>
        <v/>
      </c>
      <c r="H47" s="394" t="str">
        <f>IF(R_施積_内数="", "", R_施積_内数)</f>
        <v/>
      </c>
      <c r="J47" s="340"/>
      <c r="K47" s="343"/>
      <c r="L47" s="343"/>
      <c r="M47" s="343"/>
      <c r="N47" s="343"/>
    </row>
    <row r="48" spans="2:14" ht="12" customHeight="1">
      <c r="B48" s="334">
        <v>3219</v>
      </c>
      <c r="C48" s="335"/>
      <c r="D48" s="889" t="s">
        <v>117</v>
      </c>
      <c r="E48" s="890"/>
      <c r="F48" s="336"/>
      <c r="G48" s="393" t="str">
        <f>IF(R_建環_全数="", "", R_建環_全数)</f>
        <v/>
      </c>
      <c r="H48" s="394" t="str">
        <f>IF(R_建環_内数="", "", R_建環_内数)</f>
        <v/>
      </c>
      <c r="J48" s="340"/>
      <c r="K48" s="343"/>
      <c r="L48" s="343"/>
      <c r="M48" s="343"/>
      <c r="N48" s="343"/>
    </row>
    <row r="49" spans="2:14" ht="12" customHeight="1">
      <c r="B49" s="334">
        <v>3220</v>
      </c>
      <c r="C49" s="335"/>
      <c r="D49" s="889" t="s">
        <v>161</v>
      </c>
      <c r="E49" s="890"/>
      <c r="F49" s="336"/>
      <c r="G49" s="393" t="str">
        <f>IF(R_機械_全数="", "", R_機械_全数)</f>
        <v/>
      </c>
      <c r="H49" s="394" t="str">
        <f>IF(R_機械_内数="", "", R_機械_内数)</f>
        <v/>
      </c>
      <c r="J49" s="346"/>
      <c r="K49" s="343"/>
      <c r="L49" s="343"/>
      <c r="M49" s="343"/>
      <c r="N49" s="343"/>
    </row>
    <row r="50" spans="2:14" ht="12" customHeight="1">
      <c r="B50" s="334">
        <v>3221</v>
      </c>
      <c r="C50" s="347"/>
      <c r="D50" s="891" t="s">
        <v>162</v>
      </c>
      <c r="E50" s="892"/>
      <c r="F50" s="348"/>
      <c r="G50" s="399" t="str">
        <f>IF(R_電電_全数="", "", R_電電_全数)</f>
        <v/>
      </c>
      <c r="H50" s="400" t="str">
        <f>IF(R_電電_内数="", "", R_電電_内数)</f>
        <v/>
      </c>
      <c r="J50" s="346"/>
      <c r="K50" s="343"/>
      <c r="L50" s="343"/>
      <c r="M50" s="343"/>
      <c r="N50" s="343"/>
    </row>
    <row r="51" spans="2:14" ht="12" customHeight="1">
      <c r="B51" s="331">
        <v>3301</v>
      </c>
      <c r="C51" s="893" t="s">
        <v>195</v>
      </c>
      <c r="D51" s="894"/>
      <c r="E51" s="895"/>
      <c r="F51" s="349"/>
      <c r="G51" s="391" t="str">
        <f>IF(一土技士_全数="", "", 一土技士_全数)</f>
        <v/>
      </c>
      <c r="H51" s="392" t="str">
        <f>IF(一土技士_内数="", "", 一土技士_内数)</f>
        <v/>
      </c>
      <c r="J51" s="350"/>
      <c r="K51" s="351"/>
      <c r="L51" s="351"/>
      <c r="M51" s="352"/>
      <c r="N51" s="352"/>
    </row>
    <row r="52" spans="2:14" ht="12" customHeight="1">
      <c r="B52" s="334">
        <v>3302</v>
      </c>
      <c r="C52" s="881" t="s">
        <v>196</v>
      </c>
      <c r="D52" s="882"/>
      <c r="E52" s="888"/>
      <c r="F52" s="353"/>
      <c r="G52" s="393" t="str">
        <f>IF(一建技士_全数="", "", 一建技士_全数)</f>
        <v/>
      </c>
      <c r="H52" s="394" t="str">
        <f>IF(一建技士_内数="", "", 一建技士_内数)</f>
        <v/>
      </c>
      <c r="J52" s="350"/>
      <c r="K52" s="351"/>
      <c r="L52" s="351"/>
      <c r="M52" s="352"/>
      <c r="N52" s="352"/>
    </row>
    <row r="53" spans="2:14" ht="12" customHeight="1">
      <c r="B53" s="334">
        <v>3303</v>
      </c>
      <c r="C53" s="881" t="s">
        <v>197</v>
      </c>
      <c r="D53" s="882"/>
      <c r="E53" s="888"/>
      <c r="F53" s="353"/>
      <c r="G53" s="393" t="str">
        <f>IF(一電技士_全数="", "", 一電技士_全数)</f>
        <v/>
      </c>
      <c r="H53" s="394" t="str">
        <f>IF(一電技士_内数="", "", 一電技士_内数)</f>
        <v/>
      </c>
      <c r="J53" s="350"/>
      <c r="K53" s="350"/>
      <c r="L53" s="351"/>
      <c r="M53" s="352"/>
      <c r="N53" s="352"/>
    </row>
    <row r="54" spans="2:14" ht="12" customHeight="1">
      <c r="B54" s="334">
        <v>3304</v>
      </c>
      <c r="C54" s="881" t="s">
        <v>198</v>
      </c>
      <c r="D54" s="882"/>
      <c r="E54" s="888"/>
      <c r="F54" s="353"/>
      <c r="G54" s="393" t="str">
        <f>IF(一管技士_全数="", "", 一管技士_全数)</f>
        <v/>
      </c>
      <c r="H54" s="394" t="str">
        <f>IF(一管技士_内数="", "", 一管技士_内数)</f>
        <v/>
      </c>
      <c r="J54" s="350"/>
      <c r="K54" s="351"/>
      <c r="L54" s="351"/>
      <c r="M54" s="352"/>
      <c r="N54" s="352"/>
    </row>
    <row r="55" spans="2:14" ht="12" customHeight="1">
      <c r="B55" s="354">
        <v>3305</v>
      </c>
      <c r="C55" s="878" t="s">
        <v>199</v>
      </c>
      <c r="D55" s="879"/>
      <c r="E55" s="880"/>
      <c r="F55" s="355"/>
      <c r="G55" s="399" t="str">
        <f>IF(一造技士_全数="", "", 一造技士_全数)</f>
        <v/>
      </c>
      <c r="H55" s="400" t="str">
        <f>IF(一造技士_内数="", "", 一造技士_内数)</f>
        <v/>
      </c>
      <c r="J55" s="350"/>
      <c r="K55" s="356"/>
      <c r="L55" s="356"/>
      <c r="M55" s="357"/>
      <c r="N55" s="357"/>
    </row>
    <row r="56" spans="2:14" ht="12" customHeight="1">
      <c r="B56" s="331">
        <v>3401</v>
      </c>
      <c r="C56" s="358" t="s">
        <v>200</v>
      </c>
      <c r="D56" s="430" t="s">
        <v>201</v>
      </c>
      <c r="E56" s="290"/>
      <c r="F56" s="349"/>
      <c r="G56" s="391" t="str">
        <f>IF(環境濃度_全数="", "", 環境濃度_全数)</f>
        <v/>
      </c>
      <c r="H56" s="392" t="str">
        <f>IF(環境濃度_内数="", "", 環境濃度_内数)</f>
        <v/>
      </c>
      <c r="J56" s="359"/>
      <c r="K56" s="356"/>
      <c r="L56" s="356"/>
      <c r="M56" s="357"/>
      <c r="N56" s="357"/>
    </row>
    <row r="57" spans="2:14" ht="12" customHeight="1">
      <c r="B57" s="334">
        <v>3402</v>
      </c>
      <c r="C57" s="360" t="s">
        <v>200</v>
      </c>
      <c r="D57" s="431" t="s">
        <v>202</v>
      </c>
      <c r="E57" s="298"/>
      <c r="F57" s="353"/>
      <c r="G57" s="393" t="str">
        <f>IF(環境騒振_全数="", "", 環境騒振_全数)</f>
        <v/>
      </c>
      <c r="H57" s="394" t="str">
        <f>IF(環境騒振_内数="", "", 環境騒振_内数)</f>
        <v/>
      </c>
      <c r="J57" s="361"/>
      <c r="K57" s="361"/>
      <c r="L57" s="361"/>
      <c r="M57" s="361"/>
      <c r="N57" s="361"/>
    </row>
    <row r="58" spans="2:14" ht="12" customHeight="1">
      <c r="B58" s="334">
        <v>3403</v>
      </c>
      <c r="C58" s="362" t="s">
        <v>203</v>
      </c>
      <c r="D58" s="363"/>
      <c r="E58" s="298"/>
      <c r="F58" s="353"/>
      <c r="G58" s="393" t="str">
        <f>IF(一般計量_全数="", "", 一般計量_全数)</f>
        <v/>
      </c>
      <c r="H58" s="394" t="str">
        <f>IF(一般計量_内数="", "", 一般計量_内数)</f>
        <v/>
      </c>
    </row>
    <row r="59" spans="2:14" ht="12" customHeight="1">
      <c r="B59" s="334">
        <v>3404</v>
      </c>
      <c r="C59" s="881" t="s">
        <v>204</v>
      </c>
      <c r="D59" s="882"/>
      <c r="E59" s="298"/>
      <c r="F59" s="353"/>
      <c r="G59" s="393" t="str">
        <f>IF(一電技術_全数="", "", 一電技術_全数)</f>
        <v/>
      </c>
      <c r="H59" s="394" t="str">
        <f>IF(一電技術_内数="", "", 一電技術_内数)</f>
        <v/>
      </c>
    </row>
    <row r="60" spans="2:14" ht="12" customHeight="1">
      <c r="B60" s="334">
        <v>3405</v>
      </c>
      <c r="C60" s="881" t="s">
        <v>205</v>
      </c>
      <c r="D60" s="882"/>
      <c r="E60" s="298"/>
      <c r="F60" s="353"/>
      <c r="G60" s="393" t="str">
        <f>IF(伝送技術_全数="", "", 伝送技術_全数)</f>
        <v/>
      </c>
      <c r="H60" s="394" t="str">
        <f>IF(伝送技術_内数="", "", 伝送技術_内数)</f>
        <v/>
      </c>
      <c r="J60" s="364"/>
      <c r="K60" s="365"/>
      <c r="L60" s="365"/>
      <c r="M60" s="365"/>
      <c r="N60" s="365"/>
    </row>
    <row r="61" spans="2:14" ht="12" customHeight="1">
      <c r="B61" s="366">
        <v>3406</v>
      </c>
      <c r="C61" s="878" t="s">
        <v>206</v>
      </c>
      <c r="D61" s="879"/>
      <c r="E61" s="302"/>
      <c r="F61" s="353"/>
      <c r="G61" s="401" t="str">
        <f>IF(線路技術_全数="", "", 線路技術_全数)</f>
        <v/>
      </c>
      <c r="H61" s="402" t="str">
        <f>IF(線路技術_内数="", "", 線路技術_内数)</f>
        <v/>
      </c>
      <c r="J61" s="365"/>
      <c r="K61" s="365"/>
      <c r="L61" s="365"/>
      <c r="M61" s="365"/>
      <c r="N61" s="365"/>
    </row>
    <row r="62" spans="2:14" ht="12" customHeight="1">
      <c r="B62" s="331">
        <v>3501</v>
      </c>
      <c r="C62" s="885" t="s">
        <v>381</v>
      </c>
      <c r="D62" s="435" t="s">
        <v>208</v>
      </c>
      <c r="E62" s="432" t="s">
        <v>209</v>
      </c>
      <c r="F62" s="353"/>
      <c r="G62" s="391" t="str">
        <f>IF(技_水管_全数="", "", 技_水管_全数)</f>
        <v/>
      </c>
      <c r="H62" s="392" t="str">
        <f>IF(技_水管_内数="", "", 技_水管_内数)</f>
        <v/>
      </c>
      <c r="J62" s="365"/>
      <c r="K62" s="365"/>
      <c r="L62" s="365"/>
      <c r="M62" s="365"/>
      <c r="N62" s="365"/>
    </row>
    <row r="63" spans="2:14" ht="12" customHeight="1">
      <c r="B63" s="334">
        <v>3502</v>
      </c>
      <c r="C63" s="886"/>
      <c r="D63" s="436" t="s">
        <v>210</v>
      </c>
      <c r="E63" s="433" t="s">
        <v>211</v>
      </c>
      <c r="F63" s="353"/>
      <c r="G63" s="393" t="str">
        <f>IF(技_環測_全数="", "", 技_環測_全数)</f>
        <v/>
      </c>
      <c r="H63" s="394" t="str">
        <f>IF(技_環測_内数="", "", 技_環測_内数)</f>
        <v/>
      </c>
      <c r="J63" s="365"/>
      <c r="K63" s="365"/>
      <c r="L63" s="365"/>
      <c r="M63" s="365"/>
      <c r="N63" s="365"/>
    </row>
    <row r="64" spans="2:14" ht="12" customHeight="1">
      <c r="B64" s="367">
        <v>3503</v>
      </c>
      <c r="C64" s="886"/>
      <c r="D64" s="437" t="s">
        <v>210</v>
      </c>
      <c r="E64" s="434" t="s">
        <v>212</v>
      </c>
      <c r="F64" s="368"/>
      <c r="G64" s="401" t="str">
        <f>IF(技_保全_全数="", "", 技_保全_全数)</f>
        <v/>
      </c>
      <c r="H64" s="402" t="str">
        <f>IF(技_保全_内数="", "", 技_保全_内数)</f>
        <v/>
      </c>
      <c r="J64" s="365"/>
      <c r="K64" s="365"/>
      <c r="L64" s="365"/>
      <c r="M64" s="365"/>
      <c r="N64" s="365"/>
    </row>
    <row r="65" spans="2:14" ht="12" customHeight="1">
      <c r="B65" s="354">
        <v>3504</v>
      </c>
      <c r="C65" s="887"/>
      <c r="D65" s="438" t="s">
        <v>213</v>
      </c>
      <c r="E65" s="439" t="s">
        <v>214</v>
      </c>
      <c r="F65" s="355"/>
      <c r="G65" s="399" t="str">
        <f>IF(技_情報_全数="", "", 技_情報_全数)</f>
        <v/>
      </c>
      <c r="H65" s="400" t="str">
        <f>IF(技_情報_内数="", "", 技_情報_内数)</f>
        <v/>
      </c>
      <c r="J65" s="365"/>
      <c r="K65" s="365"/>
      <c r="L65" s="365"/>
      <c r="M65" s="365"/>
      <c r="N65" s="365"/>
    </row>
    <row r="66" spans="2:14" ht="12" customHeight="1">
      <c r="B66" s="414">
        <v>4001</v>
      </c>
      <c r="C66" s="369" t="s">
        <v>388</v>
      </c>
      <c r="D66" s="370"/>
      <c r="E66" s="371"/>
      <c r="F66" s="372"/>
      <c r="G66" s="403" t="str">
        <f>IF(地質技士_全数="", "", 地質技士_全数)</f>
        <v/>
      </c>
      <c r="H66" s="404" t="str">
        <f>IF(地質技士_内数="", "", 地質技士_内数)</f>
        <v/>
      </c>
      <c r="J66" s="365"/>
      <c r="K66" s="365"/>
      <c r="L66" s="365"/>
      <c r="M66" s="365"/>
      <c r="N66" s="365"/>
    </row>
    <row r="67" spans="2:14" ht="12" customHeight="1">
      <c r="B67" s="415">
        <v>5001</v>
      </c>
      <c r="C67" s="883" t="s">
        <v>216</v>
      </c>
      <c r="D67" s="884"/>
      <c r="E67" s="290"/>
      <c r="F67" s="373"/>
      <c r="G67" s="384" t="str">
        <f>IF(不動鑑定_全数="", "", 不動鑑定_全数)</f>
        <v/>
      </c>
      <c r="H67" s="405" t="str">
        <f>IF(不動鑑定_内数="", "", 不動鑑定_内数)</f>
        <v/>
      </c>
      <c r="J67" s="365"/>
      <c r="K67" s="365"/>
      <c r="L67" s="365"/>
      <c r="M67" s="365"/>
      <c r="N67" s="365"/>
    </row>
    <row r="68" spans="2:14" ht="12" customHeight="1">
      <c r="B68" s="416">
        <v>5002</v>
      </c>
      <c r="C68" s="874" t="s">
        <v>217</v>
      </c>
      <c r="D68" s="875"/>
      <c r="E68" s="298"/>
      <c r="F68" s="374"/>
      <c r="G68" s="388" t="str">
        <f>IF(土家調査_全数="", "", 土家調査_全数)</f>
        <v/>
      </c>
      <c r="H68" s="406" t="str">
        <f>IF(土家調査_内数="", "", 土家調査_内数)</f>
        <v/>
      </c>
    </row>
    <row r="69" spans="2:14" ht="12" customHeight="1">
      <c r="B69" s="416">
        <v>5003</v>
      </c>
      <c r="C69" s="874" t="s">
        <v>389</v>
      </c>
      <c r="D69" s="875"/>
      <c r="E69" s="298"/>
      <c r="F69" s="374"/>
      <c r="G69" s="388" t="str">
        <f>IF(司法書士_全数="", "", 司法書士_全数)</f>
        <v/>
      </c>
      <c r="H69" s="406" t="str">
        <f>IF(司法書士_内数="", "", 司法書士_内数)</f>
        <v/>
      </c>
    </row>
    <row r="70" spans="2:14" ht="12" customHeight="1">
      <c r="B70" s="416">
        <v>5004</v>
      </c>
      <c r="C70" s="874" t="s">
        <v>390</v>
      </c>
      <c r="D70" s="875"/>
      <c r="E70" s="298"/>
      <c r="F70" s="374"/>
      <c r="G70" s="388" t="str">
        <f>IF(補償管理_全数="", "", 補償管理_全数)</f>
        <v/>
      </c>
      <c r="H70" s="406" t="str">
        <f>IF(補償管理_内数="", "", 補償管理_内数)</f>
        <v/>
      </c>
    </row>
    <row r="71" spans="2:14" ht="12" customHeight="1">
      <c r="B71" s="417">
        <v>5005</v>
      </c>
      <c r="C71" s="876" t="s">
        <v>391</v>
      </c>
      <c r="D71" s="877"/>
      <c r="E71" s="302"/>
      <c r="F71" s="375"/>
      <c r="G71" s="386" t="str">
        <f>IF(区画整理_全数="", "", 区画整理_全数)</f>
        <v/>
      </c>
      <c r="H71" s="390" t="str">
        <f>IF(区画整理_内数="", "", 区画整理_内数)</f>
        <v/>
      </c>
    </row>
  </sheetData>
  <sheetProtection password="EF3D" sheet="1" objects="1" scenarios="1" selectLockedCells="1"/>
  <mergeCells count="64">
    <mergeCell ref="C7:D7"/>
    <mergeCell ref="J1:N1"/>
    <mergeCell ref="C3:D3"/>
    <mergeCell ref="C4:D4"/>
    <mergeCell ref="C5:D5"/>
    <mergeCell ref="C6:D6"/>
    <mergeCell ref="K18:L18"/>
    <mergeCell ref="C8:D8"/>
    <mergeCell ref="K8:L8"/>
    <mergeCell ref="K9:L9"/>
    <mergeCell ref="K10:L10"/>
    <mergeCell ref="K11:L11"/>
    <mergeCell ref="K12:L12"/>
    <mergeCell ref="K13:L13"/>
    <mergeCell ref="K14:L14"/>
    <mergeCell ref="K15:L15"/>
    <mergeCell ref="K16:L16"/>
    <mergeCell ref="K17:L17"/>
    <mergeCell ref="D30:E30"/>
    <mergeCell ref="K19:L19"/>
    <mergeCell ref="K20:L20"/>
    <mergeCell ref="K21:L21"/>
    <mergeCell ref="K22:L22"/>
    <mergeCell ref="K23:L23"/>
    <mergeCell ref="K24:L24"/>
    <mergeCell ref="K25:L25"/>
    <mergeCell ref="K26:L26"/>
    <mergeCell ref="K27:L27"/>
    <mergeCell ref="K28:L28"/>
    <mergeCell ref="K29:L29"/>
    <mergeCell ref="D42:E42"/>
    <mergeCell ref="D31:E31"/>
    <mergeCell ref="D32:E32"/>
    <mergeCell ref="D33:E33"/>
    <mergeCell ref="D34:E34"/>
    <mergeCell ref="D35:E35"/>
    <mergeCell ref="D36:E36"/>
    <mergeCell ref="D37:E37"/>
    <mergeCell ref="D38:E38"/>
    <mergeCell ref="D39:E39"/>
    <mergeCell ref="D40:E40"/>
    <mergeCell ref="D41:E41"/>
    <mergeCell ref="C54:E54"/>
    <mergeCell ref="D43:E43"/>
    <mergeCell ref="D44:E44"/>
    <mergeCell ref="D45:E45"/>
    <mergeCell ref="D46:E46"/>
    <mergeCell ref="D47:E47"/>
    <mergeCell ref="D48:E48"/>
    <mergeCell ref="D49:E49"/>
    <mergeCell ref="D50:E50"/>
    <mergeCell ref="C51:E51"/>
    <mergeCell ref="C52:E52"/>
    <mergeCell ref="C53:E53"/>
    <mergeCell ref="C69:D69"/>
    <mergeCell ref="C70:D70"/>
    <mergeCell ref="C71:D71"/>
    <mergeCell ref="C55:E55"/>
    <mergeCell ref="C59:D59"/>
    <mergeCell ref="C60:D60"/>
    <mergeCell ref="C61:D61"/>
    <mergeCell ref="C67:D67"/>
    <mergeCell ref="C68:D68"/>
    <mergeCell ref="C62:C65"/>
  </mergeCells>
  <phoneticPr fontId="5"/>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429</vt:i4>
      </vt:variant>
    </vt:vector>
  </HeadingPairs>
  <TitlesOfParts>
    <vt:vector size="434" baseType="lpstr">
      <vt:lpstr>入力設定</vt:lpstr>
      <vt:lpstr>入力シート</vt:lpstr>
      <vt:lpstr>【印刷用】申請書</vt:lpstr>
      <vt:lpstr>【印刷用】希望業務等総括表</vt:lpstr>
      <vt:lpstr>【印刷用】技術職員総括表</vt:lpstr>
      <vt:lpstr>【印刷用】申請書!Print_Titles</vt:lpstr>
      <vt:lpstr>入力シート!Print_Titles</vt:lpstr>
      <vt:lpstr>R_トン_全数</vt:lpstr>
      <vt:lpstr>R_トン_内数</vt:lpstr>
      <vt:lpstr>R_下水道_全数</vt:lpstr>
      <vt:lpstr>R_下水道_内数</vt:lpstr>
      <vt:lpstr>R_河川_全数</vt:lpstr>
      <vt:lpstr>R_河川_内数</vt:lpstr>
      <vt:lpstr>R_機械_全数</vt:lpstr>
      <vt:lpstr>R_機械_内数</vt:lpstr>
      <vt:lpstr>R_建環_全数</vt:lpstr>
      <vt:lpstr>R_建環_内数</vt:lpstr>
      <vt:lpstr>R_港空_全数</vt:lpstr>
      <vt:lpstr>R_港空_内数</vt:lpstr>
      <vt:lpstr>R_鋼コ_全数</vt:lpstr>
      <vt:lpstr>R_鋼コ_内数</vt:lpstr>
      <vt:lpstr>R_施積_全数</vt:lpstr>
      <vt:lpstr>R_施積_内数</vt:lpstr>
      <vt:lpstr>R_上工水_全数</vt:lpstr>
      <vt:lpstr>R_上工水_内数</vt:lpstr>
      <vt:lpstr>R_森土木_全数</vt:lpstr>
      <vt:lpstr>R_森土木_内数</vt:lpstr>
      <vt:lpstr>R_水土木_全数</vt:lpstr>
      <vt:lpstr>R_水土木_内数</vt:lpstr>
      <vt:lpstr>R_地質_全数</vt:lpstr>
      <vt:lpstr>R_地質_内数</vt:lpstr>
      <vt:lpstr>R_鉄道_全数</vt:lpstr>
      <vt:lpstr>R_鉄道_内数</vt:lpstr>
      <vt:lpstr>R_電電_全数</vt:lpstr>
      <vt:lpstr>R_電電_内数</vt:lpstr>
      <vt:lpstr>R_電土_全数</vt:lpstr>
      <vt:lpstr>R_電土_内数</vt:lpstr>
      <vt:lpstr>R_都計_全数</vt:lpstr>
      <vt:lpstr>R_都計_内数</vt:lpstr>
      <vt:lpstr>R_都計造_全数</vt:lpstr>
      <vt:lpstr>R_都計造_内数</vt:lpstr>
      <vt:lpstr>R_土基_全数</vt:lpstr>
      <vt:lpstr>R_土基_内数</vt:lpstr>
      <vt:lpstr>R_道路_全数</vt:lpstr>
      <vt:lpstr>R_道路_内数</vt:lpstr>
      <vt:lpstr>R_農土木_全数</vt:lpstr>
      <vt:lpstr>R_農土木_内数</vt:lpstr>
      <vt:lpstr>R_廃棄物_全数</vt:lpstr>
      <vt:lpstr>R_廃棄物_内数</vt:lpstr>
      <vt:lpstr>委任先FAX</vt:lpstr>
      <vt:lpstr>委任先TEL</vt:lpstr>
      <vt:lpstr>委任先市町村内外区分</vt:lpstr>
      <vt:lpstr>委任先所在地</vt:lpstr>
      <vt:lpstr>委任先代表者氏名</vt:lpstr>
      <vt:lpstr>委任先代表者氏名カナ</vt:lpstr>
      <vt:lpstr>委任先代表者職名</vt:lpstr>
      <vt:lpstr>委任先名称</vt:lpstr>
      <vt:lpstr>委任先名称カナ</vt:lpstr>
      <vt:lpstr>委任先有無</vt:lpstr>
      <vt:lpstr>委任先郵便</vt:lpstr>
      <vt:lpstr>一管技士_全数</vt:lpstr>
      <vt:lpstr>一管技士_内数</vt:lpstr>
      <vt:lpstr>一建技士_全数</vt:lpstr>
      <vt:lpstr>一建技士_内数</vt:lpstr>
      <vt:lpstr>一建士_全数</vt:lpstr>
      <vt:lpstr>一建士_内数</vt:lpstr>
      <vt:lpstr>一造技士_全数</vt:lpstr>
      <vt:lpstr>一造技士_内数</vt:lpstr>
      <vt:lpstr>一電技士_全数</vt:lpstr>
      <vt:lpstr>一電技士_内数</vt:lpstr>
      <vt:lpstr>一電技術_全数</vt:lpstr>
      <vt:lpstr>一電技術_内数</vt:lpstr>
      <vt:lpstr>一土技士_全数</vt:lpstr>
      <vt:lpstr>一土技士_内数</vt:lpstr>
      <vt:lpstr>一般計量_全数</vt:lpstr>
      <vt:lpstr>一般計量_内数</vt:lpstr>
      <vt:lpstr>営業年数</vt:lpstr>
      <vt:lpstr>環境騒振_全数</vt:lpstr>
      <vt:lpstr>環境騒振_内数</vt:lpstr>
      <vt:lpstr>環境濃度_全数</vt:lpstr>
      <vt:lpstr>環境濃度_内数</vt:lpstr>
      <vt:lpstr>技_トン_全数</vt:lpstr>
      <vt:lpstr>技_トン_内数</vt:lpstr>
      <vt:lpstr>技_下水道_全数</vt:lpstr>
      <vt:lpstr>技_下水道_内数</vt:lpstr>
      <vt:lpstr>技_河川_全数</vt:lpstr>
      <vt:lpstr>技_河川_内数</vt:lpstr>
      <vt:lpstr>技_環測_全数</vt:lpstr>
      <vt:lpstr>技_環測_内数</vt:lpstr>
      <vt:lpstr>技_機械_全数</vt:lpstr>
      <vt:lpstr>技_機械_内数</vt:lpstr>
      <vt:lpstr>技_建環_全数</vt:lpstr>
      <vt:lpstr>技_建環_内数</vt:lpstr>
      <vt:lpstr>技_港空_全数</vt:lpstr>
      <vt:lpstr>技_港空_内数</vt:lpstr>
      <vt:lpstr>技_鋼コ_全数</vt:lpstr>
      <vt:lpstr>技_鋼コ_内数</vt:lpstr>
      <vt:lpstr>技_施積_全数</vt:lpstr>
      <vt:lpstr>技_施積_内数</vt:lpstr>
      <vt:lpstr>技_上工水_全数</vt:lpstr>
      <vt:lpstr>技_上工水_内数</vt:lpstr>
      <vt:lpstr>技_情報_全数</vt:lpstr>
      <vt:lpstr>技_情報_内数</vt:lpstr>
      <vt:lpstr>技_森土木_全数</vt:lpstr>
      <vt:lpstr>技_森土木_内数</vt:lpstr>
      <vt:lpstr>技_水管_全数</vt:lpstr>
      <vt:lpstr>技_水管_内数</vt:lpstr>
      <vt:lpstr>技_水土木_全数</vt:lpstr>
      <vt:lpstr>技_水土木_内数</vt:lpstr>
      <vt:lpstr>技_地質_全数</vt:lpstr>
      <vt:lpstr>技_地質_内数</vt:lpstr>
      <vt:lpstr>技_鉄道_全数</vt:lpstr>
      <vt:lpstr>技_鉄道_内数</vt:lpstr>
      <vt:lpstr>技_電電_全数</vt:lpstr>
      <vt:lpstr>技_電電_内数</vt:lpstr>
      <vt:lpstr>技_電土_全数</vt:lpstr>
      <vt:lpstr>技_電土_内数</vt:lpstr>
      <vt:lpstr>技_都計_全数</vt:lpstr>
      <vt:lpstr>技_都計_内数</vt:lpstr>
      <vt:lpstr>技_都計造_全数</vt:lpstr>
      <vt:lpstr>技_都計造_内数</vt:lpstr>
      <vt:lpstr>技_土基_全数</vt:lpstr>
      <vt:lpstr>技_土基_内数</vt:lpstr>
      <vt:lpstr>技_道路_全数</vt:lpstr>
      <vt:lpstr>技_道路_内数</vt:lpstr>
      <vt:lpstr>技_農土木_全数</vt:lpstr>
      <vt:lpstr>技_農土木_内数</vt:lpstr>
      <vt:lpstr>技_廃棄物_全数</vt:lpstr>
      <vt:lpstr>技_廃棄物_内数</vt:lpstr>
      <vt:lpstr>技_保全_全数</vt:lpstr>
      <vt:lpstr>技_保全_内数</vt:lpstr>
      <vt:lpstr>業種_トンネル</vt:lpstr>
      <vt:lpstr>業種_トンネル_希望</vt:lpstr>
      <vt:lpstr>業種_トンネル_業高</vt:lpstr>
      <vt:lpstr>業種_トンネル_登録</vt:lpstr>
      <vt:lpstr>業種_意匠</vt:lpstr>
      <vt:lpstr>業種_意匠_希望</vt:lpstr>
      <vt:lpstr>業種_営業特殊</vt:lpstr>
      <vt:lpstr>業種_営業特殊_希望</vt:lpstr>
      <vt:lpstr>業種_営業特殊_業高</vt:lpstr>
      <vt:lpstr>業種_営業特殊_登録</vt:lpstr>
      <vt:lpstr>業種_衛生</vt:lpstr>
      <vt:lpstr>業種_衛生_希望</vt:lpstr>
      <vt:lpstr>業種_下水道</vt:lpstr>
      <vt:lpstr>業種_下水道_希望</vt:lpstr>
      <vt:lpstr>業種_下水道_業高</vt:lpstr>
      <vt:lpstr>業種_下水道_登録</vt:lpstr>
      <vt:lpstr>業種_河川海岸</vt:lpstr>
      <vt:lpstr>業種_河川海岸_希望</vt:lpstr>
      <vt:lpstr>業種_河川海岸_業高</vt:lpstr>
      <vt:lpstr>業種_河川海岸_登録</vt:lpstr>
      <vt:lpstr>業種_環境調査</vt:lpstr>
      <vt:lpstr>業種_環境調査_希望</vt:lpstr>
      <vt:lpstr>業種_機械工作</vt:lpstr>
      <vt:lpstr>業種_機械工作_希望</vt:lpstr>
      <vt:lpstr>業種_機械工作_業高</vt:lpstr>
      <vt:lpstr>業種_機械工作_登録</vt:lpstr>
      <vt:lpstr>業種_機械積算</vt:lpstr>
      <vt:lpstr>業種_機械積算_希望</vt:lpstr>
      <vt:lpstr>業種_経済調査</vt:lpstr>
      <vt:lpstr>業種_経済調査_希望</vt:lpstr>
      <vt:lpstr>業種_計算業務</vt:lpstr>
      <vt:lpstr>業種_計算業務_希望</vt:lpstr>
      <vt:lpstr>業種_建設環境</vt:lpstr>
      <vt:lpstr>業種_建設環境_希望</vt:lpstr>
      <vt:lpstr>業種_建設環境_業高</vt:lpstr>
      <vt:lpstr>業種_建設環境_登録</vt:lpstr>
      <vt:lpstr>業種_建設機械</vt:lpstr>
      <vt:lpstr>業種_建設機械_希望</vt:lpstr>
      <vt:lpstr>業種_建設機械_業高</vt:lpstr>
      <vt:lpstr>業種_建設機械_登録</vt:lpstr>
      <vt:lpstr>業種_建設調査</vt:lpstr>
      <vt:lpstr>業種_建設調査_希望</vt:lpstr>
      <vt:lpstr>業種_建築一般</vt:lpstr>
      <vt:lpstr>業種_建築一般_希望</vt:lpstr>
      <vt:lpstr>業種_建築積算</vt:lpstr>
      <vt:lpstr>業種_建築積算_希望</vt:lpstr>
      <vt:lpstr>業種_交通調査</vt:lpstr>
      <vt:lpstr>業種_交通調査_希望</vt:lpstr>
      <vt:lpstr>業種_構造</vt:lpstr>
      <vt:lpstr>業種_構造_希望</vt:lpstr>
      <vt:lpstr>業種_港湾空港</vt:lpstr>
      <vt:lpstr>業種_港湾空港_希望</vt:lpstr>
      <vt:lpstr>業種_港湾空港_業高</vt:lpstr>
      <vt:lpstr>業種_港湾空港_登録</vt:lpstr>
      <vt:lpstr>業種_航空測量</vt:lpstr>
      <vt:lpstr>業種_航空測量_希望</vt:lpstr>
      <vt:lpstr>業種_鋼構コン</vt:lpstr>
      <vt:lpstr>業種_鋼構コン_希望</vt:lpstr>
      <vt:lpstr>業種_鋼構コン_業高</vt:lpstr>
      <vt:lpstr>業種_鋼構コン_登録</vt:lpstr>
      <vt:lpstr>業種_施工管理</vt:lpstr>
      <vt:lpstr>業種_施工管理_希望</vt:lpstr>
      <vt:lpstr>業種_施工積算</vt:lpstr>
      <vt:lpstr>業種_施工積算_希望</vt:lpstr>
      <vt:lpstr>業種_施工積算_業高</vt:lpstr>
      <vt:lpstr>業種_施工積算_登録</vt:lpstr>
      <vt:lpstr>業種_資料整理</vt:lpstr>
      <vt:lpstr>業種_資料整理_希望</vt:lpstr>
      <vt:lpstr>業種_事業損失</vt:lpstr>
      <vt:lpstr>業種_事業損失_希望</vt:lpstr>
      <vt:lpstr>業種_事業損失_業高</vt:lpstr>
      <vt:lpstr>業種_事業損失_登録</vt:lpstr>
      <vt:lpstr>業種_磁気探査</vt:lpstr>
      <vt:lpstr>業種_磁気探査_希望</vt:lpstr>
      <vt:lpstr>業種_上水工業</vt:lpstr>
      <vt:lpstr>業種_上水工業_希望</vt:lpstr>
      <vt:lpstr>業種_上水工業_業高</vt:lpstr>
      <vt:lpstr>業種_上水工業_登録</vt:lpstr>
      <vt:lpstr>業種_森林土木</vt:lpstr>
      <vt:lpstr>業種_森林土木_希望</vt:lpstr>
      <vt:lpstr>業種_森林土木_業高</vt:lpstr>
      <vt:lpstr>業種_森林土木_登録</vt:lpstr>
      <vt:lpstr>業種_水産土木</vt:lpstr>
      <vt:lpstr>業種_水産土木_希望</vt:lpstr>
      <vt:lpstr>業種_水産土木_業高</vt:lpstr>
      <vt:lpstr>業種_水産土木_登録</vt:lpstr>
      <vt:lpstr>業種_水質分析</vt:lpstr>
      <vt:lpstr>業種_水質分析_希望</vt:lpstr>
      <vt:lpstr>業種_総合補償</vt:lpstr>
      <vt:lpstr>業種_総合補償_希望</vt:lpstr>
      <vt:lpstr>業種_総合補償_業高</vt:lpstr>
      <vt:lpstr>業種_総合補償_登録</vt:lpstr>
      <vt:lpstr>業種_造園</vt:lpstr>
      <vt:lpstr>業種_造園_希望</vt:lpstr>
      <vt:lpstr>業種_造園_業高</vt:lpstr>
      <vt:lpstr>業種_造園_登録</vt:lpstr>
      <vt:lpstr>業種_測量一般</vt:lpstr>
      <vt:lpstr>業種_測量一般_希望</vt:lpstr>
      <vt:lpstr>業種_耐震診断</vt:lpstr>
      <vt:lpstr>業種_耐震診断_希望</vt:lpstr>
      <vt:lpstr>業種_宅地造成</vt:lpstr>
      <vt:lpstr>業種_宅地造成_希望</vt:lpstr>
      <vt:lpstr>業種_暖冷房</vt:lpstr>
      <vt:lpstr>業種_暖冷房_希望</vt:lpstr>
      <vt:lpstr>業種_地質調査</vt:lpstr>
      <vt:lpstr>業種_地質調査_希望</vt:lpstr>
      <vt:lpstr>業種_地図調整</vt:lpstr>
      <vt:lpstr>業種_地図調整_希望</vt:lpstr>
      <vt:lpstr>業種_鉄道</vt:lpstr>
      <vt:lpstr>業種_鉄道_希望</vt:lpstr>
      <vt:lpstr>業種_鉄道_業高</vt:lpstr>
      <vt:lpstr>業種_鉄道_登録</vt:lpstr>
      <vt:lpstr>業種_電気</vt:lpstr>
      <vt:lpstr>業種_電気_希望</vt:lpstr>
      <vt:lpstr>業種_電気積算</vt:lpstr>
      <vt:lpstr>業種_電気積算_希望</vt:lpstr>
      <vt:lpstr>業種_電気電子</vt:lpstr>
      <vt:lpstr>業種_電気電子_希望</vt:lpstr>
      <vt:lpstr>業種_電気電子_業高</vt:lpstr>
      <vt:lpstr>業種_電気電子_登録</vt:lpstr>
      <vt:lpstr>業種_電算関係</vt:lpstr>
      <vt:lpstr>業種_電算関係_希望</vt:lpstr>
      <vt:lpstr>業種_電力土木</vt:lpstr>
      <vt:lpstr>業種_電力土木_希望</vt:lpstr>
      <vt:lpstr>業種_電力土木_業高</vt:lpstr>
      <vt:lpstr>業種_電力土木_登録</vt:lpstr>
      <vt:lpstr>業種_登記手続</vt:lpstr>
      <vt:lpstr>業種_登記手続_希望</vt:lpstr>
      <vt:lpstr>業種_都地計画</vt:lpstr>
      <vt:lpstr>業種_都地計画_希望</vt:lpstr>
      <vt:lpstr>業種_都地計画_業高</vt:lpstr>
      <vt:lpstr>業種_都地計画_登録</vt:lpstr>
      <vt:lpstr>業種_土質基礎</vt:lpstr>
      <vt:lpstr>業種_土質基礎_希望</vt:lpstr>
      <vt:lpstr>業種_土質基礎_業高</vt:lpstr>
      <vt:lpstr>業種_土質基礎_登録</vt:lpstr>
      <vt:lpstr>業種_土地調査</vt:lpstr>
      <vt:lpstr>業種_土地調査_希望</vt:lpstr>
      <vt:lpstr>業種_土地調査_業高</vt:lpstr>
      <vt:lpstr>業種_土地調査_登録</vt:lpstr>
      <vt:lpstr>業種_土地評価</vt:lpstr>
      <vt:lpstr>業種_土地評価_希望</vt:lpstr>
      <vt:lpstr>業種_土地評価_業高</vt:lpstr>
      <vt:lpstr>業種_土地評価_登録</vt:lpstr>
      <vt:lpstr>業種_土木地質</vt:lpstr>
      <vt:lpstr>業種_土木地質_希望</vt:lpstr>
      <vt:lpstr>業種_土木地質_業高</vt:lpstr>
      <vt:lpstr>業種_土木地質_登録</vt:lpstr>
      <vt:lpstr>業種_道路</vt:lpstr>
      <vt:lpstr>業種_道路_希望</vt:lpstr>
      <vt:lpstr>業種_道路_業高</vt:lpstr>
      <vt:lpstr>業種_道路_登録</vt:lpstr>
      <vt:lpstr>業種_農業土木</vt:lpstr>
      <vt:lpstr>業種_農業土木_希望</vt:lpstr>
      <vt:lpstr>業種_農業土木_業高</vt:lpstr>
      <vt:lpstr>業種_農業土木_登録</vt:lpstr>
      <vt:lpstr>業種_廃棄物</vt:lpstr>
      <vt:lpstr>業種_廃棄物_希望</vt:lpstr>
      <vt:lpstr>業種_廃棄物_業高</vt:lpstr>
      <vt:lpstr>業種_廃棄物_登録</vt:lpstr>
      <vt:lpstr>業種_不動鑑定</vt:lpstr>
      <vt:lpstr>業種_不動鑑定_希望</vt:lpstr>
      <vt:lpstr>業種_物件</vt:lpstr>
      <vt:lpstr>業種_物件_希望</vt:lpstr>
      <vt:lpstr>業種_物件_業高</vt:lpstr>
      <vt:lpstr>業種_物件_登録</vt:lpstr>
      <vt:lpstr>業種_補償関連</vt:lpstr>
      <vt:lpstr>業種_補償関連_希望</vt:lpstr>
      <vt:lpstr>業種_補償関連_業高</vt:lpstr>
      <vt:lpstr>業種_補償関連_登録</vt:lpstr>
      <vt:lpstr>区画整理_全数</vt:lpstr>
      <vt:lpstr>区画整理_内数</vt:lpstr>
      <vt:lpstr>建積者_全数</vt:lpstr>
      <vt:lpstr>建積者_内数</vt:lpstr>
      <vt:lpstr>建設士_全数</vt:lpstr>
      <vt:lpstr>建設士_内数</vt:lpstr>
      <vt:lpstr>個人法人区分</vt:lpstr>
      <vt:lpstr>司法書士_全数</vt:lpstr>
      <vt:lpstr>司法書士_内数</vt:lpstr>
      <vt:lpstr>自己資本額</vt:lpstr>
      <vt:lpstr>実績高_その他_１年前</vt:lpstr>
      <vt:lpstr>実績高_その他_２年前</vt:lpstr>
      <vt:lpstr>実績高_その他_２年平均</vt:lpstr>
      <vt:lpstr>実績高_開始日_１年前</vt:lpstr>
      <vt:lpstr>実績高_開始日_２年前</vt:lpstr>
      <vt:lpstr>実績高_建コン_１年前</vt:lpstr>
      <vt:lpstr>実績高_建コン_２年前</vt:lpstr>
      <vt:lpstr>実績高_建コン_２年平均</vt:lpstr>
      <vt:lpstr>実績高_終了日_１年前</vt:lpstr>
      <vt:lpstr>実績高_終了日_２年前</vt:lpstr>
      <vt:lpstr>実績高_測量_１年前</vt:lpstr>
      <vt:lpstr>実績高_測量_２年前</vt:lpstr>
      <vt:lpstr>実績高_測量_２年平均</vt:lpstr>
      <vt:lpstr>実績高_地質_１年前</vt:lpstr>
      <vt:lpstr>実績高_地質_２年前</vt:lpstr>
      <vt:lpstr>実績高_地質_２年平均</vt:lpstr>
      <vt:lpstr>実績高_土コン_１年前</vt:lpstr>
      <vt:lpstr>実績高_土コン_２年前</vt:lpstr>
      <vt:lpstr>実績高_土コン_２年平均</vt:lpstr>
      <vt:lpstr>実績高_補コン_１年前</vt:lpstr>
      <vt:lpstr>実績高_補コン_２年前</vt:lpstr>
      <vt:lpstr>実績高_補コン_２年平均</vt:lpstr>
      <vt:lpstr>申請代理人FAX</vt:lpstr>
      <vt:lpstr>申請代理人TEL</vt:lpstr>
      <vt:lpstr>申請代理人氏名</vt:lpstr>
      <vt:lpstr>申請代理人氏名カナ</vt:lpstr>
      <vt:lpstr>申請代理人所在地</vt:lpstr>
      <vt:lpstr>申請代理人有無</vt:lpstr>
      <vt:lpstr>申請代理人郵便</vt:lpstr>
      <vt:lpstr>申請年月日</vt:lpstr>
      <vt:lpstr>線路技術_全数</vt:lpstr>
      <vt:lpstr>線路技術_内数</vt:lpstr>
      <vt:lpstr>総_トン_全数</vt:lpstr>
      <vt:lpstr>総_トン_内数</vt:lpstr>
      <vt:lpstr>総_下水道_全数</vt:lpstr>
      <vt:lpstr>総_下水道_内数</vt:lpstr>
      <vt:lpstr>総_河川_全数</vt:lpstr>
      <vt:lpstr>総_河川_内数</vt:lpstr>
      <vt:lpstr>総_機械_全数</vt:lpstr>
      <vt:lpstr>総_機械_内数</vt:lpstr>
      <vt:lpstr>総_建環_全数</vt:lpstr>
      <vt:lpstr>総_建環_内数</vt:lpstr>
      <vt:lpstr>総_港空_全数</vt:lpstr>
      <vt:lpstr>総_港空_内数</vt:lpstr>
      <vt:lpstr>総_鋼コ_全数</vt:lpstr>
      <vt:lpstr>総_鋼コ_内数</vt:lpstr>
      <vt:lpstr>総_施積_全数</vt:lpstr>
      <vt:lpstr>総_施積_内数</vt:lpstr>
      <vt:lpstr>総_上工水_全数</vt:lpstr>
      <vt:lpstr>総_上工水_内数</vt:lpstr>
      <vt:lpstr>総_森土木_全数</vt:lpstr>
      <vt:lpstr>総_森土木_内数</vt:lpstr>
      <vt:lpstr>総_水土木_全数</vt:lpstr>
      <vt:lpstr>総_水土木_内数</vt:lpstr>
      <vt:lpstr>総_地質_全数</vt:lpstr>
      <vt:lpstr>総_地質_内数</vt:lpstr>
      <vt:lpstr>総_鉄道_全数</vt:lpstr>
      <vt:lpstr>総_鉄道_内数</vt:lpstr>
      <vt:lpstr>総_電電_全数</vt:lpstr>
      <vt:lpstr>総_電電_内数</vt:lpstr>
      <vt:lpstr>総_電土_全数</vt:lpstr>
      <vt:lpstr>総_電土_内数</vt:lpstr>
      <vt:lpstr>総_都計_全数</vt:lpstr>
      <vt:lpstr>総_都計_内数</vt:lpstr>
      <vt:lpstr>総_都計造_全数</vt:lpstr>
      <vt:lpstr>総_都計造_内数</vt:lpstr>
      <vt:lpstr>総_土基_全数</vt:lpstr>
      <vt:lpstr>総_土基_内数</vt:lpstr>
      <vt:lpstr>総_道路_全数</vt:lpstr>
      <vt:lpstr>総_道路_内数</vt:lpstr>
      <vt:lpstr>総_農土木_全数</vt:lpstr>
      <vt:lpstr>総_農土木_内数</vt:lpstr>
      <vt:lpstr>総_廃棄物_全数</vt:lpstr>
      <vt:lpstr>総_廃棄物_内数</vt:lpstr>
      <vt:lpstr>測量士_全数</vt:lpstr>
      <vt:lpstr>測量士_内数</vt:lpstr>
      <vt:lpstr>測量補_全数</vt:lpstr>
      <vt:lpstr>測量補_内数</vt:lpstr>
      <vt:lpstr>担当者FAX</vt:lpstr>
      <vt:lpstr>担当者TEL</vt:lpstr>
      <vt:lpstr>担当者アドレス</vt:lpstr>
      <vt:lpstr>担当者氏名</vt:lpstr>
      <vt:lpstr>担当者氏名カナ</vt:lpstr>
      <vt:lpstr>担当者部署</vt:lpstr>
      <vt:lpstr>地質技士_全数</vt:lpstr>
      <vt:lpstr>地質技士_内数</vt:lpstr>
      <vt:lpstr>直近決算日</vt:lpstr>
      <vt:lpstr>伝送技術_全数</vt:lpstr>
      <vt:lpstr>伝送技術_内数</vt:lpstr>
      <vt:lpstr>登録_建設コンサルタント_日</vt:lpstr>
      <vt:lpstr>登録_建設コンサルタント_番号</vt:lpstr>
      <vt:lpstr>登録_建築士事務所_日</vt:lpstr>
      <vt:lpstr>登録_建築士事務所_番号</vt:lpstr>
      <vt:lpstr>登録_測量業者_日</vt:lpstr>
      <vt:lpstr>登録_測量業者_番号</vt:lpstr>
      <vt:lpstr>登録_地質調査業者_日</vt:lpstr>
      <vt:lpstr>登録_地質調査業者_番号</vt:lpstr>
      <vt:lpstr>登録_不動産鑑定業者_日</vt:lpstr>
      <vt:lpstr>登録_不動産鑑定業者_番号</vt:lpstr>
      <vt:lpstr>登録_補償コンサルタント_日</vt:lpstr>
      <vt:lpstr>登録_補償コンサルタント_番号</vt:lpstr>
      <vt:lpstr>土家調査_全数</vt:lpstr>
      <vt:lpstr>土家調査_内数</vt:lpstr>
      <vt:lpstr>二建士_全数</vt:lpstr>
      <vt:lpstr>二建士_内数</vt:lpstr>
      <vt:lpstr>不動鑑定_全数</vt:lpstr>
      <vt:lpstr>不動鑑定_内数</vt:lpstr>
      <vt:lpstr>払込資本金</vt:lpstr>
      <vt:lpstr>補償管理_全数</vt:lpstr>
      <vt:lpstr>補償管理_内数</vt:lpstr>
      <vt:lpstr>法的計画認可日</vt:lpstr>
      <vt:lpstr>法的再建手続</vt:lpstr>
      <vt:lpstr>法的申立日</vt:lpstr>
      <vt:lpstr>本社FAX</vt:lpstr>
      <vt:lpstr>本社TEL</vt:lpstr>
      <vt:lpstr>本社市町村内外区分</vt:lpstr>
      <vt:lpstr>本社所在地</vt:lpstr>
      <vt:lpstr>本社代表者氏名</vt:lpstr>
      <vt:lpstr>本社代表者氏名カナ</vt:lpstr>
      <vt:lpstr>本社代表者職名</vt:lpstr>
      <vt:lpstr>本社名称</vt:lpstr>
      <vt:lpstr>本社名称カナ</vt:lpstr>
      <vt:lpstr>本社郵便</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temp</cp:lastModifiedBy>
  <cp:lastPrinted>2018-11-29T02:52:34Z</cp:lastPrinted>
  <dcterms:created xsi:type="dcterms:W3CDTF">2018-07-20T07:50:20Z</dcterms:created>
  <dcterms:modified xsi:type="dcterms:W3CDTF">2018-11-29T02:52:43Z</dcterms:modified>
</cp:coreProperties>
</file>